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GEFIMOVA\Users\GEfimova.FINANCE\Desktop\Бюджетный отдел\ОТЧЕТЫ, ЗАДАНИЯ\Оценка качества управления мун.фин\2024 год\Нормативные затраты\МБУ\"/>
    </mc:Choice>
  </mc:AlternateContent>
  <bookViews>
    <workbookView xWindow="0" yWindow="0" windowWidth="30720" windowHeight="13512" activeTab="3"/>
  </bookViews>
  <sheets>
    <sheet name="Приложение 1" sheetId="6" r:id="rId1"/>
    <sheet name="Приложение 2" sheetId="7" r:id="rId2"/>
    <sheet name="Приложение 3" sheetId="8" r:id="rId3"/>
    <sheet name="Приложение 4" sheetId="11" r:id="rId4"/>
  </sheets>
  <externalReferences>
    <externalReference r:id="rId5"/>
    <externalReference r:id="rId6"/>
  </externalReferences>
  <calcPr calcId="162913"/>
</workbook>
</file>

<file path=xl/calcChain.xml><?xml version="1.0" encoding="utf-8"?>
<calcChain xmlns="http://schemas.openxmlformats.org/spreadsheetml/2006/main">
  <c r="T15" i="8" l="1"/>
  <c r="K15" i="8"/>
  <c r="S15" i="8" s="1"/>
  <c r="F15" i="8"/>
  <c r="E15" i="8"/>
  <c r="G15" i="8" s="1"/>
  <c r="F14" i="8"/>
  <c r="D14" i="8"/>
  <c r="E14" i="8" s="1"/>
  <c r="G14" i="8" s="1"/>
  <c r="C14" i="8"/>
  <c r="K14" i="8" s="1"/>
  <c r="AB13" i="8"/>
  <c r="Z13" i="8"/>
  <c r="V13" i="8"/>
  <c r="R13" i="8"/>
  <c r="P13" i="8"/>
  <c r="N13" i="8"/>
  <c r="L13" i="8"/>
  <c r="F13" i="8"/>
  <c r="D13" i="8"/>
  <c r="C13" i="8"/>
  <c r="K13" i="8" s="1"/>
  <c r="W12" i="8"/>
  <c r="M12" i="8"/>
  <c r="K12" i="8"/>
  <c r="U12" i="8" s="1"/>
  <c r="E12" i="8"/>
  <c r="G12" i="8" s="1"/>
  <c r="K11" i="8"/>
  <c r="W11" i="8" s="1"/>
  <c r="F11" i="8"/>
  <c r="E11" i="8"/>
  <c r="G11" i="8" s="1"/>
  <c r="AA10" i="8"/>
  <c r="K10" i="8"/>
  <c r="F10" i="8"/>
  <c r="E10" i="8"/>
  <c r="AA9" i="8"/>
  <c r="T9" i="8"/>
  <c r="K9" i="8"/>
  <c r="F9" i="8"/>
  <c r="E9" i="8"/>
  <c r="AA8" i="8"/>
  <c r="K8" i="8"/>
  <c r="F8" i="8"/>
  <c r="E8" i="8"/>
  <c r="AA7" i="8"/>
  <c r="T7" i="8"/>
  <c r="M7" i="8"/>
  <c r="K7" i="8"/>
  <c r="F7" i="8"/>
  <c r="E7" i="8"/>
  <c r="G7" i="8" s="1"/>
  <c r="W6" i="8"/>
  <c r="T6" i="8"/>
  <c r="U6" i="8" s="1"/>
  <c r="Q6" i="8"/>
  <c r="K6" i="8"/>
  <c r="S6" i="8" s="1"/>
  <c r="F6" i="8"/>
  <c r="E6" i="8"/>
  <c r="G6" i="8" s="1"/>
  <c r="T5" i="8"/>
  <c r="K5" i="8"/>
  <c r="S5" i="8" s="1"/>
  <c r="F5" i="8"/>
  <c r="E5" i="8"/>
  <c r="G5" i="8" s="1"/>
  <c r="U11" i="8" l="1"/>
  <c r="Q14" i="8"/>
  <c r="M5" i="8"/>
  <c r="Q5" i="8"/>
  <c r="W13" i="8"/>
  <c r="G10" i="8"/>
  <c r="J10" i="8" s="1"/>
  <c r="W5" i="8"/>
  <c r="Q12" i="8"/>
  <c r="M6" i="8"/>
  <c r="W8" i="8"/>
  <c r="M11" i="8"/>
  <c r="M14" i="8"/>
  <c r="Q11" i="8"/>
  <c r="Q15" i="8"/>
  <c r="W15" i="8"/>
  <c r="M15" i="8"/>
  <c r="U15" i="8"/>
  <c r="H5" i="8"/>
  <c r="J5" i="8"/>
  <c r="H7" i="8"/>
  <c r="J7" i="8"/>
  <c r="H6" i="8"/>
  <c r="J6" i="8"/>
  <c r="H10" i="8"/>
  <c r="H11" i="8"/>
  <c r="J11" i="8"/>
  <c r="U5" i="8"/>
  <c r="T13" i="8"/>
  <c r="U8" i="8"/>
  <c r="U7" i="8"/>
  <c r="S8" i="8"/>
  <c r="W10" i="8"/>
  <c r="S10" i="8"/>
  <c r="O10" i="8"/>
  <c r="W9" i="8"/>
  <c r="Q9" i="8"/>
  <c r="M9" i="8"/>
  <c r="S9" i="8"/>
  <c r="U9" i="8"/>
  <c r="M10" i="8"/>
  <c r="U10" i="8"/>
  <c r="H12" i="8"/>
  <c r="J12" i="8"/>
  <c r="J14" i="8"/>
  <c r="H14" i="8"/>
  <c r="Q8" i="8"/>
  <c r="Q7" i="8"/>
  <c r="W7" i="8"/>
  <c r="G8" i="8"/>
  <c r="O8" i="8"/>
  <c r="G9" i="8"/>
  <c r="O9" i="8"/>
  <c r="Q10" i="8"/>
  <c r="O13" i="8"/>
  <c r="S13" i="8"/>
  <c r="H15" i="8"/>
  <c r="J15" i="8"/>
  <c r="E13" i="8"/>
  <c r="G13" i="8" s="1"/>
  <c r="J13" i="8" s="1"/>
  <c r="O14" i="8"/>
  <c r="S14" i="8"/>
  <c r="W14" i="8"/>
  <c r="O5" i="8"/>
  <c r="X5" i="8" s="1"/>
  <c r="O6" i="8"/>
  <c r="O7" i="8"/>
  <c r="S7" i="8"/>
  <c r="M8" i="8"/>
  <c r="O11" i="8"/>
  <c r="S11" i="8"/>
  <c r="O12" i="8"/>
  <c r="X12" i="8" s="1"/>
  <c r="M13" i="8"/>
  <c r="Q13" i="8"/>
  <c r="O15" i="8"/>
  <c r="X15" i="8" s="1"/>
  <c r="H13" i="8" l="1"/>
  <c r="X11" i="8"/>
  <c r="X8" i="8"/>
  <c r="X6" i="8"/>
  <c r="X7" i="8"/>
  <c r="Y7" i="8" s="1"/>
  <c r="AC7" i="8" s="1"/>
  <c r="X13" i="8"/>
  <c r="Y13" i="8" s="1"/>
  <c r="Y15" i="8"/>
  <c r="AC15" i="8" s="1"/>
  <c r="J9" i="8"/>
  <c r="H9" i="8"/>
  <c r="J8" i="8"/>
  <c r="Y8" i="8" s="1"/>
  <c r="AC8" i="8" s="1"/>
  <c r="H8" i="8"/>
  <c r="X10" i="8"/>
  <c r="Y10" i="8" s="1"/>
  <c r="AC10" i="8" s="1"/>
  <c r="U14" i="8"/>
  <c r="X14" i="8" s="1"/>
  <c r="Y14" i="8" s="1"/>
  <c r="U13" i="8"/>
  <c r="Y5" i="8"/>
  <c r="AC5" i="8" s="1"/>
  <c r="Y12" i="8"/>
  <c r="AC12" i="8" s="1"/>
  <c r="X9" i="8"/>
  <c r="Y11" i="8"/>
  <c r="AC11" i="8" s="1"/>
  <c r="Y6" i="8"/>
  <c r="AC6" i="8" s="1"/>
  <c r="AC14" i="8" l="1"/>
  <c r="Y9" i="8"/>
  <c r="AC9" i="8" s="1"/>
  <c r="AC13" i="8" s="1"/>
  <c r="K72" i="7" l="1"/>
  <c r="I72" i="7"/>
  <c r="F72" i="7"/>
  <c r="D72" i="7"/>
  <c r="C72" i="7"/>
  <c r="U72" i="7" s="1"/>
  <c r="K71" i="7"/>
  <c r="I71" i="7"/>
  <c r="F71" i="7"/>
  <c r="D71" i="7"/>
  <c r="C71" i="7"/>
  <c r="U71" i="7" s="1"/>
  <c r="K70" i="7"/>
  <c r="I70" i="7"/>
  <c r="J70" i="7" s="1"/>
  <c r="L70" i="7" s="1"/>
  <c r="F70" i="7"/>
  <c r="D70" i="7"/>
  <c r="C70" i="7"/>
  <c r="U70" i="7" s="1"/>
  <c r="K69" i="7"/>
  <c r="I69" i="7"/>
  <c r="F69" i="7"/>
  <c r="D69" i="7"/>
  <c r="C69" i="7"/>
  <c r="U69" i="7" s="1"/>
  <c r="K68" i="7"/>
  <c r="I68" i="7"/>
  <c r="J68" i="7" s="1"/>
  <c r="L68" i="7" s="1"/>
  <c r="F68" i="7"/>
  <c r="D68" i="7"/>
  <c r="C68" i="7"/>
  <c r="U68" i="7" s="1"/>
  <c r="K67" i="7"/>
  <c r="I67" i="7"/>
  <c r="F67" i="7"/>
  <c r="D67" i="7"/>
  <c r="C67" i="7"/>
  <c r="U67" i="7" s="1"/>
  <c r="K66" i="7"/>
  <c r="I66" i="7"/>
  <c r="F66" i="7"/>
  <c r="D66" i="7"/>
  <c r="C66" i="7"/>
  <c r="U66" i="7" s="1"/>
  <c r="P65" i="7"/>
  <c r="N65" i="7"/>
  <c r="K65" i="7"/>
  <c r="I65" i="7"/>
  <c r="F65" i="7"/>
  <c r="D65" i="7"/>
  <c r="C65" i="7"/>
  <c r="U65" i="7" s="1"/>
  <c r="AH64" i="7"/>
  <c r="AD64" i="7"/>
  <c r="Z64" i="7"/>
  <c r="X64" i="7"/>
  <c r="V64" i="7"/>
  <c r="P64" i="7"/>
  <c r="K64" i="7"/>
  <c r="I64" i="7"/>
  <c r="F64" i="7"/>
  <c r="C64" i="7"/>
  <c r="AI63" i="7"/>
  <c r="U63" i="7"/>
  <c r="W63" i="7" s="1"/>
  <c r="K63" i="7"/>
  <c r="J63" i="7"/>
  <c r="F63" i="7"/>
  <c r="E63" i="7"/>
  <c r="G63" i="7" s="1"/>
  <c r="AI62" i="7"/>
  <c r="AB62" i="7"/>
  <c r="AC63" i="7" s="1"/>
  <c r="U62" i="7"/>
  <c r="AA62" i="7" s="1"/>
  <c r="S62" i="7"/>
  <c r="S63" i="7" s="1"/>
  <c r="K62" i="7"/>
  <c r="J62" i="7"/>
  <c r="L62" i="7" s="1"/>
  <c r="M62" i="7" s="1"/>
  <c r="F62" i="7"/>
  <c r="E62" i="7"/>
  <c r="G62" i="7" s="1"/>
  <c r="AI61" i="7"/>
  <c r="U61" i="7"/>
  <c r="K61" i="7"/>
  <c r="J61" i="7"/>
  <c r="L61" i="7" s="1"/>
  <c r="M61" i="7" s="1"/>
  <c r="F61" i="7"/>
  <c r="E61" i="7"/>
  <c r="G61" i="7" s="1"/>
  <c r="AI60" i="7"/>
  <c r="U60" i="7"/>
  <c r="K60" i="7"/>
  <c r="J60" i="7"/>
  <c r="L60" i="7" s="1"/>
  <c r="M60" i="7" s="1"/>
  <c r="F60" i="7"/>
  <c r="E60" i="7"/>
  <c r="G60" i="7" s="1"/>
  <c r="AI59" i="7"/>
  <c r="U59" i="7"/>
  <c r="P59" i="7"/>
  <c r="O59" i="7"/>
  <c r="Q59" i="7" s="1"/>
  <c r="R59" i="7" s="1"/>
  <c r="K59" i="7"/>
  <c r="J59" i="7"/>
  <c r="L59" i="7" s="1"/>
  <c r="M59" i="7" s="1"/>
  <c r="F59" i="7"/>
  <c r="E59" i="7"/>
  <c r="G59" i="7" s="1"/>
  <c r="AI58" i="7"/>
  <c r="AB58" i="7"/>
  <c r="AC60" i="7" s="1"/>
  <c r="U58" i="7"/>
  <c r="AE61" i="7" s="1"/>
  <c r="S58" i="7"/>
  <c r="S59" i="7" s="1"/>
  <c r="S61" i="7" s="1"/>
  <c r="P58" i="7"/>
  <c r="O58" i="7"/>
  <c r="K58" i="7"/>
  <c r="J58" i="7"/>
  <c r="L58" i="7" s="1"/>
  <c r="M58" i="7" s="1"/>
  <c r="F58" i="7"/>
  <c r="E58" i="7"/>
  <c r="G58" i="7" s="1"/>
  <c r="AI57" i="7"/>
  <c r="U57" i="7"/>
  <c r="K57" i="7"/>
  <c r="L57" i="7" s="1"/>
  <c r="M57" i="7" s="1"/>
  <c r="F57" i="7"/>
  <c r="E57" i="7"/>
  <c r="AI56" i="7"/>
  <c r="U56" i="7"/>
  <c r="K56" i="7"/>
  <c r="J56" i="7"/>
  <c r="F56" i="7"/>
  <c r="E56" i="7"/>
  <c r="AI55" i="7"/>
  <c r="U55" i="7"/>
  <c r="K55" i="7"/>
  <c r="J55" i="7"/>
  <c r="F55" i="7"/>
  <c r="E55" i="7"/>
  <c r="G55" i="7" s="1"/>
  <c r="AI54" i="7"/>
  <c r="AB54" i="7"/>
  <c r="AC57" i="7" s="1"/>
  <c r="U54" i="7"/>
  <c r="S54" i="7"/>
  <c r="S55" i="7" s="1"/>
  <c r="P54" i="7"/>
  <c r="N54" i="7"/>
  <c r="N64" i="7" s="1"/>
  <c r="O64" i="7" s="1"/>
  <c r="Q64" i="7" s="1"/>
  <c r="K54" i="7"/>
  <c r="J54" i="7"/>
  <c r="L54" i="7" s="1"/>
  <c r="M54" i="7" s="1"/>
  <c r="F54" i="7"/>
  <c r="E54" i="7"/>
  <c r="G54" i="7" s="1"/>
  <c r="AI53" i="7"/>
  <c r="U53" i="7"/>
  <c r="AE53" i="7" s="1"/>
  <c r="S53" i="7"/>
  <c r="K53" i="7"/>
  <c r="J53" i="7"/>
  <c r="L53" i="7" s="1"/>
  <c r="M53" i="7" s="1"/>
  <c r="F53" i="7"/>
  <c r="E53" i="7"/>
  <c r="AI52" i="7"/>
  <c r="U52" i="7"/>
  <c r="AA51" i="7" s="1"/>
  <c r="K52" i="7"/>
  <c r="J52" i="7"/>
  <c r="L52" i="7" s="1"/>
  <c r="M52" i="7" s="1"/>
  <c r="F52" i="7"/>
  <c r="E52" i="7"/>
  <c r="G52" i="7" s="1"/>
  <c r="AI51" i="7"/>
  <c r="AB51" i="7"/>
  <c r="AC51" i="7" s="1"/>
  <c r="U51" i="7"/>
  <c r="S51" i="7"/>
  <c r="S52" i="7" s="1"/>
  <c r="K51" i="7"/>
  <c r="J51" i="7"/>
  <c r="L51" i="7" s="1"/>
  <c r="M51" i="7" s="1"/>
  <c r="F51" i="7"/>
  <c r="E51" i="7"/>
  <c r="G51" i="7" s="1"/>
  <c r="AI50" i="7"/>
  <c r="U50" i="7"/>
  <c r="K50" i="7"/>
  <c r="J50" i="7"/>
  <c r="F50" i="7"/>
  <c r="E50" i="7"/>
  <c r="AI49" i="7"/>
  <c r="U49" i="7"/>
  <c r="K49" i="7"/>
  <c r="J49" i="7"/>
  <c r="F49" i="7"/>
  <c r="E49" i="7"/>
  <c r="G49" i="7" s="1"/>
  <c r="AI48" i="7"/>
  <c r="U48" i="7"/>
  <c r="K48" i="7"/>
  <c r="J48" i="7"/>
  <c r="F48" i="7"/>
  <c r="E48" i="7"/>
  <c r="AI47" i="7"/>
  <c r="AB47" i="7"/>
  <c r="U47" i="7"/>
  <c r="Y48" i="7" s="1"/>
  <c r="S47" i="7"/>
  <c r="S49" i="7" s="1"/>
  <c r="K47" i="7"/>
  <c r="J47" i="7"/>
  <c r="L47" i="7" s="1"/>
  <c r="M47" i="7" s="1"/>
  <c r="F47" i="7"/>
  <c r="E47" i="7"/>
  <c r="G47" i="7" s="1"/>
  <c r="AI46" i="7"/>
  <c r="U46" i="7"/>
  <c r="K46" i="7"/>
  <c r="J46" i="7"/>
  <c r="F46" i="7"/>
  <c r="E46" i="7"/>
  <c r="AI45" i="7"/>
  <c r="U45" i="7"/>
  <c r="S45" i="7"/>
  <c r="K45" i="7"/>
  <c r="J45" i="7"/>
  <c r="F45" i="7"/>
  <c r="E45" i="7"/>
  <c r="G45" i="7" s="1"/>
  <c r="AI44" i="7"/>
  <c r="U44" i="7"/>
  <c r="K44" i="7"/>
  <c r="J44" i="7"/>
  <c r="L44" i="7" s="1"/>
  <c r="M44" i="7" s="1"/>
  <c r="F44" i="7"/>
  <c r="E44" i="7"/>
  <c r="G44" i="7" s="1"/>
  <c r="AI43" i="7"/>
  <c r="U43" i="7"/>
  <c r="W41" i="7" s="1"/>
  <c r="S43" i="7"/>
  <c r="K43" i="7"/>
  <c r="J43" i="7"/>
  <c r="L43" i="7" s="1"/>
  <c r="M43" i="7" s="1"/>
  <c r="F43" i="7"/>
  <c r="E43" i="7"/>
  <c r="AI42" i="7"/>
  <c r="U42" i="7"/>
  <c r="S42" i="7"/>
  <c r="K42" i="7"/>
  <c r="J42" i="7"/>
  <c r="L42" i="7" s="1"/>
  <c r="M42" i="7" s="1"/>
  <c r="F42" i="7"/>
  <c r="E42" i="7"/>
  <c r="G42" i="7" s="1"/>
  <c r="AI41" i="7"/>
  <c r="AB41" i="7"/>
  <c r="U41" i="7"/>
  <c r="AE41" i="7" s="1"/>
  <c r="S41" i="7"/>
  <c r="S46" i="7" s="1"/>
  <c r="P41" i="7"/>
  <c r="O41" i="7"/>
  <c r="Q41" i="7" s="1"/>
  <c r="R41" i="7" s="1"/>
  <c r="K41" i="7"/>
  <c r="J41" i="7"/>
  <c r="L41" i="7" s="1"/>
  <c r="M41" i="7" s="1"/>
  <c r="F41" i="7"/>
  <c r="G41" i="7" s="1"/>
  <c r="AI40" i="7"/>
  <c r="U40" i="7"/>
  <c r="K40" i="7"/>
  <c r="J40" i="7"/>
  <c r="L40" i="7" s="1"/>
  <c r="M40" i="7" s="1"/>
  <c r="F40" i="7"/>
  <c r="E40" i="7"/>
  <c r="AI39" i="7"/>
  <c r="U39" i="7"/>
  <c r="K39" i="7"/>
  <c r="L39" i="7" s="1"/>
  <c r="M39" i="7" s="1"/>
  <c r="F39" i="7"/>
  <c r="G39" i="7" s="1"/>
  <c r="AI38" i="7"/>
  <c r="U38" i="7"/>
  <c r="S38" i="7"/>
  <c r="K38" i="7"/>
  <c r="J38" i="7"/>
  <c r="L38" i="7" s="1"/>
  <c r="M38" i="7" s="1"/>
  <c r="F38" i="7"/>
  <c r="E38" i="7"/>
  <c r="AI37" i="7"/>
  <c r="U37" i="7"/>
  <c r="K37" i="7"/>
  <c r="J37" i="7"/>
  <c r="F37" i="7"/>
  <c r="E37" i="7"/>
  <c r="AI36" i="7"/>
  <c r="U36" i="7"/>
  <c r="AC40" i="7" s="1"/>
  <c r="K36" i="7"/>
  <c r="J36" i="7"/>
  <c r="L36" i="7" s="1"/>
  <c r="M36" i="7" s="1"/>
  <c r="F36" i="7"/>
  <c r="E36" i="7"/>
  <c r="G36" i="7" s="1"/>
  <c r="AI35" i="7"/>
  <c r="U35" i="7"/>
  <c r="P35" i="7"/>
  <c r="O35" i="7"/>
  <c r="Q35" i="7" s="1"/>
  <c r="R35" i="7" s="1"/>
  <c r="K35" i="7"/>
  <c r="J35" i="7"/>
  <c r="F35" i="7"/>
  <c r="E35" i="7"/>
  <c r="G35" i="7" s="1"/>
  <c r="AI34" i="7"/>
  <c r="AB34" i="7"/>
  <c r="U34" i="7"/>
  <c r="S34" i="7"/>
  <c r="S40" i="7" s="1"/>
  <c r="P34" i="7"/>
  <c r="O34" i="7"/>
  <c r="Q34" i="7" s="1"/>
  <c r="R34" i="7" s="1"/>
  <c r="K34" i="7"/>
  <c r="J34" i="7"/>
  <c r="L34" i="7" s="1"/>
  <c r="M34" i="7" s="1"/>
  <c r="F34" i="7"/>
  <c r="E34" i="7"/>
  <c r="AI33" i="7"/>
  <c r="U33" i="7"/>
  <c r="K33" i="7"/>
  <c r="J33" i="7"/>
  <c r="L33" i="7" s="1"/>
  <c r="M33" i="7" s="1"/>
  <c r="F33" i="7"/>
  <c r="E33" i="7"/>
  <c r="G33" i="7" s="1"/>
  <c r="AI32" i="7"/>
  <c r="U32" i="7"/>
  <c r="K32" i="7"/>
  <c r="J32" i="7"/>
  <c r="F32" i="7"/>
  <c r="E32" i="7"/>
  <c r="G32" i="7" s="1"/>
  <c r="AI31" i="7"/>
  <c r="U31" i="7"/>
  <c r="K31" i="7"/>
  <c r="J31" i="7"/>
  <c r="F31" i="7"/>
  <c r="E31" i="7"/>
  <c r="G31" i="7" s="1"/>
  <c r="AI30" i="7"/>
  <c r="U30" i="7"/>
  <c r="K30" i="7"/>
  <c r="J30" i="7"/>
  <c r="F30" i="7"/>
  <c r="E30" i="7"/>
  <c r="AI29" i="7"/>
  <c r="AB29" i="7"/>
  <c r="U29" i="7"/>
  <c r="W29" i="7" s="1"/>
  <c r="S29" i="7"/>
  <c r="S32" i="7" s="1"/>
  <c r="K29" i="7"/>
  <c r="J29" i="7"/>
  <c r="L29" i="7" s="1"/>
  <c r="M29" i="7" s="1"/>
  <c r="F29" i="7"/>
  <c r="E29" i="7"/>
  <c r="AI28" i="7"/>
  <c r="U28" i="7"/>
  <c r="K28" i="7"/>
  <c r="J28" i="7"/>
  <c r="F28" i="7"/>
  <c r="E28" i="7"/>
  <c r="G28" i="7" s="1"/>
  <c r="AI27" i="7"/>
  <c r="U27" i="7"/>
  <c r="W27" i="7" s="1"/>
  <c r="K27" i="7"/>
  <c r="J27" i="7"/>
  <c r="F27" i="7"/>
  <c r="E27" i="7"/>
  <c r="AI26" i="7"/>
  <c r="AB26" i="7"/>
  <c r="AC26" i="7" s="1"/>
  <c r="AA26" i="7"/>
  <c r="U26" i="7"/>
  <c r="Y28" i="7" s="1"/>
  <c r="S26" i="7"/>
  <c r="S27" i="7" s="1"/>
  <c r="K26" i="7"/>
  <c r="J26" i="7"/>
  <c r="F26" i="7"/>
  <c r="E26" i="7"/>
  <c r="G26" i="7" s="1"/>
  <c r="H26" i="7" s="1"/>
  <c r="AI25" i="7"/>
  <c r="U25" i="7"/>
  <c r="AE25" i="7" s="1"/>
  <c r="S25" i="7"/>
  <c r="K25" i="7"/>
  <c r="J25" i="7"/>
  <c r="L25" i="7" s="1"/>
  <c r="M25" i="7" s="1"/>
  <c r="F25" i="7"/>
  <c r="E25" i="7"/>
  <c r="G25" i="7" s="1"/>
  <c r="AI24" i="7"/>
  <c r="AC24" i="7"/>
  <c r="U24" i="7"/>
  <c r="K24" i="7"/>
  <c r="J24" i="7"/>
  <c r="L24" i="7" s="1"/>
  <c r="M24" i="7" s="1"/>
  <c r="F24" i="7"/>
  <c r="E24" i="7"/>
  <c r="AI23" i="7"/>
  <c r="AB23" i="7"/>
  <c r="AC25" i="7" s="1"/>
  <c r="W23" i="7"/>
  <c r="U23" i="7"/>
  <c r="S23" i="7"/>
  <c r="S24" i="7" s="1"/>
  <c r="K23" i="7"/>
  <c r="J23" i="7"/>
  <c r="L23" i="7" s="1"/>
  <c r="M23" i="7" s="1"/>
  <c r="F23" i="7"/>
  <c r="E23" i="7"/>
  <c r="AI22" i="7"/>
  <c r="U22" i="7"/>
  <c r="K22" i="7"/>
  <c r="J22" i="7"/>
  <c r="F22" i="7"/>
  <c r="E22" i="7"/>
  <c r="G22" i="7" s="1"/>
  <c r="AI21" i="7"/>
  <c r="U21" i="7"/>
  <c r="S21" i="7"/>
  <c r="K21" i="7"/>
  <c r="J21" i="7"/>
  <c r="F21" i="7"/>
  <c r="E21" i="7"/>
  <c r="G21" i="7" s="1"/>
  <c r="AI20" i="7"/>
  <c r="U20" i="7"/>
  <c r="K20" i="7"/>
  <c r="J20" i="7"/>
  <c r="L20" i="7" s="1"/>
  <c r="M20" i="7" s="1"/>
  <c r="F20" i="7"/>
  <c r="E20" i="7"/>
  <c r="AI19" i="7"/>
  <c r="U19" i="7"/>
  <c r="K19" i="7"/>
  <c r="L19" i="7" s="1"/>
  <c r="M19" i="7" s="1"/>
  <c r="G19" i="7"/>
  <c r="F19" i="7"/>
  <c r="AI18" i="7"/>
  <c r="AB18" i="7"/>
  <c r="U18" i="7"/>
  <c r="AE22" i="7" s="1"/>
  <c r="S18" i="7"/>
  <c r="S22" i="7" s="1"/>
  <c r="K18" i="7"/>
  <c r="J18" i="7"/>
  <c r="L18" i="7" s="1"/>
  <c r="M18" i="7" s="1"/>
  <c r="F18" i="7"/>
  <c r="E18" i="7"/>
  <c r="AI17" i="7"/>
  <c r="U17" i="7"/>
  <c r="K17" i="7"/>
  <c r="J17" i="7"/>
  <c r="F17" i="7"/>
  <c r="E17" i="7"/>
  <c r="G17" i="7" s="1"/>
  <c r="AI16" i="7"/>
  <c r="U16" i="7"/>
  <c r="W16" i="7" s="1"/>
  <c r="K16" i="7"/>
  <c r="J16" i="7"/>
  <c r="F16" i="7"/>
  <c r="E16" i="7"/>
  <c r="AI15" i="7"/>
  <c r="AB15" i="7"/>
  <c r="AC15" i="7" s="1"/>
  <c r="AA15" i="7"/>
  <c r="U15" i="7"/>
  <c r="S15" i="7"/>
  <c r="S16" i="7" s="1"/>
  <c r="K15" i="7"/>
  <c r="J15" i="7"/>
  <c r="F15" i="7"/>
  <c r="E15" i="7"/>
  <c r="G15" i="7" s="1"/>
  <c r="AI14" i="7"/>
  <c r="U14" i="7"/>
  <c r="K14" i="7"/>
  <c r="J14" i="7"/>
  <c r="L14" i="7" s="1"/>
  <c r="M14" i="7" s="1"/>
  <c r="F14" i="7"/>
  <c r="E14" i="7"/>
  <c r="AI13" i="7"/>
  <c r="U13" i="7"/>
  <c r="K13" i="7"/>
  <c r="J13" i="7"/>
  <c r="F13" i="7"/>
  <c r="E13" i="7"/>
  <c r="G13" i="7" s="1"/>
  <c r="AI12" i="7"/>
  <c r="U12" i="7"/>
  <c r="K12" i="7"/>
  <c r="J12" i="7"/>
  <c r="L12" i="7" s="1"/>
  <c r="M12" i="7" s="1"/>
  <c r="F12" i="7"/>
  <c r="E12" i="7"/>
  <c r="AI11" i="7"/>
  <c r="AB11" i="7"/>
  <c r="U11" i="7"/>
  <c r="AE14" i="7" s="1"/>
  <c r="S11" i="7"/>
  <c r="S14" i="7" s="1"/>
  <c r="K11" i="7"/>
  <c r="J11" i="7"/>
  <c r="L11" i="7" s="1"/>
  <c r="M11" i="7" s="1"/>
  <c r="F11" i="7"/>
  <c r="E11" i="7"/>
  <c r="G11" i="7" s="1"/>
  <c r="AI10" i="7"/>
  <c r="U10" i="7"/>
  <c r="K10" i="7"/>
  <c r="J10" i="7"/>
  <c r="F10" i="7"/>
  <c r="E10" i="7"/>
  <c r="G10" i="7" s="1"/>
  <c r="AI9" i="7"/>
  <c r="AF9" i="7"/>
  <c r="U9" i="7"/>
  <c r="K9" i="7"/>
  <c r="L9" i="7" s="1"/>
  <c r="M9" i="7" s="1"/>
  <c r="F9" i="7"/>
  <c r="G9" i="7" s="1"/>
  <c r="AI8" i="7"/>
  <c r="U8" i="7"/>
  <c r="K8" i="7"/>
  <c r="J8" i="7"/>
  <c r="L8" i="7" s="1"/>
  <c r="M8" i="7" s="1"/>
  <c r="F8" i="7"/>
  <c r="E8" i="7"/>
  <c r="G8" i="7" s="1"/>
  <c r="AI7" i="7"/>
  <c r="U7" i="7"/>
  <c r="AC10" i="7" s="1"/>
  <c r="K7" i="7"/>
  <c r="J7" i="7"/>
  <c r="L7" i="7" s="1"/>
  <c r="M7" i="7" s="1"/>
  <c r="F7" i="7"/>
  <c r="E7" i="7"/>
  <c r="G7" i="7" s="1"/>
  <c r="AI6" i="7"/>
  <c r="W6" i="7"/>
  <c r="U6" i="7"/>
  <c r="K6" i="7"/>
  <c r="J6" i="7"/>
  <c r="L6" i="7" s="1"/>
  <c r="M6" i="7" s="1"/>
  <c r="F6" i="7"/>
  <c r="E6" i="7"/>
  <c r="AI5" i="7"/>
  <c r="AB5" i="7"/>
  <c r="U5" i="7"/>
  <c r="AC6" i="7" s="1"/>
  <c r="S5" i="7"/>
  <c r="S64" i="7" s="1"/>
  <c r="P5" i="7"/>
  <c r="O5" i="7"/>
  <c r="Q5" i="7" s="1"/>
  <c r="R5" i="7" s="1"/>
  <c r="K5" i="7"/>
  <c r="J5" i="7"/>
  <c r="L5" i="7" s="1"/>
  <c r="M5" i="7" s="1"/>
  <c r="E5" i="7"/>
  <c r="G5" i="7" s="1"/>
  <c r="W5" i="7" l="1"/>
  <c r="L17" i="7"/>
  <c r="M17" i="7" s="1"/>
  <c r="AA18" i="7"/>
  <c r="L22" i="7"/>
  <c r="M22" i="7" s="1"/>
  <c r="L28" i="7"/>
  <c r="M28" i="7" s="1"/>
  <c r="L31" i="7"/>
  <c r="M31" i="7" s="1"/>
  <c r="G37" i="7"/>
  <c r="G57" i="7"/>
  <c r="AC28" i="7"/>
  <c r="AC33" i="7"/>
  <c r="AE40" i="7"/>
  <c r="AC17" i="7"/>
  <c r="W18" i="7"/>
  <c r="AC21" i="7"/>
  <c r="G16" i="7"/>
  <c r="S17" i="7"/>
  <c r="AC18" i="7"/>
  <c r="G27" i="7"/>
  <c r="S28" i="7"/>
  <c r="S71" i="7" s="1"/>
  <c r="S31" i="7"/>
  <c r="W34" i="7"/>
  <c r="W35" i="7"/>
  <c r="L37" i="7"/>
  <c r="M37" i="7" s="1"/>
  <c r="G46" i="7"/>
  <c r="T46" i="7" s="1"/>
  <c r="AC49" i="7"/>
  <c r="L55" i="7"/>
  <c r="M55" i="7" s="1"/>
  <c r="J66" i="7"/>
  <c r="L66" i="7" s="1"/>
  <c r="AE28" i="7"/>
  <c r="AC32" i="7"/>
  <c r="S33" i="7"/>
  <c r="AA34" i="7"/>
  <c r="AC35" i="7"/>
  <c r="W52" i="7"/>
  <c r="J71" i="7"/>
  <c r="L71" i="7" s="1"/>
  <c r="AE10" i="7"/>
  <c r="AE17" i="7"/>
  <c r="L16" i="7"/>
  <c r="M16" i="7" s="1"/>
  <c r="G23" i="7"/>
  <c r="AC39" i="7"/>
  <c r="AE45" i="7"/>
  <c r="L46" i="7"/>
  <c r="M46" i="7" s="1"/>
  <c r="G48" i="7"/>
  <c r="G50" i="7"/>
  <c r="W53" i="7"/>
  <c r="AC52" i="7"/>
  <c r="E65" i="7"/>
  <c r="G65" i="7" s="1"/>
  <c r="AA5" i="7"/>
  <c r="AC5" i="7"/>
  <c r="G6" i="7"/>
  <c r="S7" i="7"/>
  <c r="L13" i="7"/>
  <c r="M13" i="7" s="1"/>
  <c r="L15" i="7"/>
  <c r="M15" i="7" s="1"/>
  <c r="G18" i="7"/>
  <c r="T18" i="7" s="1"/>
  <c r="T19" i="7"/>
  <c r="L21" i="7"/>
  <c r="M21" i="7" s="1"/>
  <c r="L30" i="7"/>
  <c r="M30" i="7" s="1"/>
  <c r="AC34" i="7"/>
  <c r="W51" i="7"/>
  <c r="W62" i="7"/>
  <c r="J69" i="7"/>
  <c r="L69" i="7" s="1"/>
  <c r="G34" i="7"/>
  <c r="G38" i="7"/>
  <c r="G40" i="7"/>
  <c r="G43" i="7"/>
  <c r="L48" i="7"/>
  <c r="M48" i="7" s="1"/>
  <c r="L50" i="7"/>
  <c r="M50" i="7" s="1"/>
  <c r="G53" i="7"/>
  <c r="O54" i="7"/>
  <c r="Q54" i="7" s="1"/>
  <c r="R54" i="7" s="1"/>
  <c r="G56" i="7"/>
  <c r="J65" i="7"/>
  <c r="L65" i="7" s="1"/>
  <c r="M65" i="7" s="1"/>
  <c r="J67" i="7"/>
  <c r="L67" i="7" s="1"/>
  <c r="M67" i="7" s="1"/>
  <c r="AC13" i="7"/>
  <c r="W17" i="7"/>
  <c r="W28" i="7"/>
  <c r="AC27" i="7"/>
  <c r="AC30" i="7"/>
  <c r="AC46" i="7"/>
  <c r="S50" i="7"/>
  <c r="L56" i="7"/>
  <c r="M56" i="7" s="1"/>
  <c r="AC62" i="7"/>
  <c r="J72" i="7"/>
  <c r="L72" i="7" s="1"/>
  <c r="AC22" i="7"/>
  <c r="AC53" i="7"/>
  <c r="AC16" i="7"/>
  <c r="L10" i="7"/>
  <c r="M10" i="7" s="1"/>
  <c r="G12" i="7"/>
  <c r="G14" i="7"/>
  <c r="W15" i="7"/>
  <c r="G20" i="7"/>
  <c r="H20" i="7" s="1"/>
  <c r="W26" i="7"/>
  <c r="L35" i="7"/>
  <c r="M35" i="7" s="1"/>
  <c r="S36" i="7"/>
  <c r="L45" i="7"/>
  <c r="M45" i="7" s="1"/>
  <c r="W57" i="7"/>
  <c r="Q58" i="7"/>
  <c r="R58" i="7" s="1"/>
  <c r="O65" i="7"/>
  <c r="Q65" i="7" s="1"/>
  <c r="T5" i="7"/>
  <c r="H5" i="7"/>
  <c r="T7" i="7"/>
  <c r="H7" i="7"/>
  <c r="H10" i="7"/>
  <c r="T11" i="7"/>
  <c r="H11" i="7"/>
  <c r="H13" i="7"/>
  <c r="T15" i="7"/>
  <c r="H15" i="7"/>
  <c r="H8" i="7"/>
  <c r="T9" i="7"/>
  <c r="AG9" i="7" s="1"/>
  <c r="AJ9" i="7" s="1"/>
  <c r="T16" i="7"/>
  <c r="H16" i="7"/>
  <c r="T17" i="7"/>
  <c r="H17" i="7"/>
  <c r="T22" i="7"/>
  <c r="H22" i="7"/>
  <c r="T23" i="7"/>
  <c r="H23" i="7"/>
  <c r="T25" i="7"/>
  <c r="H25" i="7"/>
  <c r="T28" i="7"/>
  <c r="H28" i="7"/>
  <c r="T31" i="7"/>
  <c r="H31" i="7"/>
  <c r="H6" i="7"/>
  <c r="H12" i="7"/>
  <c r="T14" i="7"/>
  <c r="H14" i="7"/>
  <c r="H21" i="7"/>
  <c r="Y7" i="7"/>
  <c r="AC8" i="7"/>
  <c r="W10" i="7"/>
  <c r="Y5" i="7"/>
  <c r="AB64" i="7"/>
  <c r="AE5" i="7"/>
  <c r="S6" i="7"/>
  <c r="T6" i="7" s="1"/>
  <c r="Y6" i="7"/>
  <c r="AE6" i="7"/>
  <c r="W7" i="7"/>
  <c r="AC7" i="7"/>
  <c r="S8" i="7"/>
  <c r="S70" i="7" s="1"/>
  <c r="Y8" i="7"/>
  <c r="AE8" i="7"/>
  <c r="S10" i="7"/>
  <c r="S72" i="7" s="1"/>
  <c r="Y10" i="7"/>
  <c r="W11" i="7"/>
  <c r="AA11" i="7"/>
  <c r="AC11" i="7"/>
  <c r="W12" i="7"/>
  <c r="AC12" i="7"/>
  <c r="S13" i="7"/>
  <c r="T13" i="7" s="1"/>
  <c r="Y13" i="7"/>
  <c r="AE13" i="7"/>
  <c r="W14" i="7"/>
  <c r="AC14" i="7"/>
  <c r="Y15" i="7"/>
  <c r="AF15" i="7" s="1"/>
  <c r="AE15" i="7"/>
  <c r="Y16" i="7"/>
  <c r="AE16" i="7"/>
  <c r="AF16" i="7" s="1"/>
  <c r="Y18" i="7"/>
  <c r="AE18" i="7"/>
  <c r="AF18" i="7" s="1"/>
  <c r="H19" i="7"/>
  <c r="W19" i="7"/>
  <c r="AC19" i="7"/>
  <c r="S20" i="7"/>
  <c r="Y20" i="7"/>
  <c r="AE20" i="7"/>
  <c r="W21" i="7"/>
  <c r="Y22" i="7"/>
  <c r="W25" i="7"/>
  <c r="AA23" i="7"/>
  <c r="AC23" i="7"/>
  <c r="G24" i="7"/>
  <c r="W24" i="7"/>
  <c r="Y25" i="7"/>
  <c r="L26" i="7"/>
  <c r="M26" i="7" s="1"/>
  <c r="L27" i="7"/>
  <c r="M27" i="7" s="1"/>
  <c r="G29" i="7"/>
  <c r="W33" i="7"/>
  <c r="AA29" i="7"/>
  <c r="AC29" i="7"/>
  <c r="G30" i="7"/>
  <c r="W30" i="7"/>
  <c r="Y31" i="7"/>
  <c r="L32" i="7"/>
  <c r="M32" i="7" s="1"/>
  <c r="T34" i="7"/>
  <c r="H34" i="7"/>
  <c r="H37" i="7"/>
  <c r="T38" i="7"/>
  <c r="H38" i="7"/>
  <c r="T39" i="7"/>
  <c r="T40" i="7"/>
  <c r="H40" i="7"/>
  <c r="T41" i="7"/>
  <c r="H41" i="7"/>
  <c r="T43" i="7"/>
  <c r="H43" i="7"/>
  <c r="H46" i="7"/>
  <c r="T47" i="7"/>
  <c r="H47" i="7"/>
  <c r="H48" i="7"/>
  <c r="T50" i="7"/>
  <c r="H50" i="7"/>
  <c r="AE7" i="7"/>
  <c r="W8" i="7"/>
  <c r="AF8" i="7" s="1"/>
  <c r="Y11" i="7"/>
  <c r="AE11" i="7"/>
  <c r="S12" i="7"/>
  <c r="T12" i="7" s="1"/>
  <c r="Y12" i="7"/>
  <c r="AE12" i="7"/>
  <c r="W13" i="7"/>
  <c r="Y14" i="7"/>
  <c r="Y17" i="7"/>
  <c r="Y19" i="7"/>
  <c r="AE19" i="7"/>
  <c r="W20" i="7"/>
  <c r="AC20" i="7"/>
  <c r="Y21" i="7"/>
  <c r="AE21" i="7"/>
  <c r="W22" i="7"/>
  <c r="AF28" i="7"/>
  <c r="H27" i="7"/>
  <c r="AE33" i="7"/>
  <c r="Y33" i="7"/>
  <c r="AE31" i="7"/>
  <c r="H32" i="7"/>
  <c r="W32" i="7"/>
  <c r="T33" i="7"/>
  <c r="H33" i="7"/>
  <c r="H35" i="7"/>
  <c r="T36" i="7"/>
  <c r="H36" i="7"/>
  <c r="T42" i="7"/>
  <c r="H42" i="7"/>
  <c r="H44" i="7"/>
  <c r="T45" i="7"/>
  <c r="H45" i="7"/>
  <c r="Y23" i="7"/>
  <c r="AF23" i="7" s="1"/>
  <c r="AE23" i="7"/>
  <c r="Y24" i="7"/>
  <c r="AE24" i="7"/>
  <c r="Y26" i="7"/>
  <c r="AE26" i="7"/>
  <c r="Y27" i="7"/>
  <c r="AF27" i="7" s="1"/>
  <c r="AE27" i="7"/>
  <c r="Y29" i="7"/>
  <c r="AE29" i="7"/>
  <c r="S30" i="7"/>
  <c r="Y30" i="7"/>
  <c r="AE30" i="7"/>
  <c r="W31" i="7"/>
  <c r="AC31" i="7"/>
  <c r="Y32" i="7"/>
  <c r="AE32" i="7"/>
  <c r="Y34" i="7"/>
  <c r="AE34" i="7"/>
  <c r="S35" i="7"/>
  <c r="S65" i="7" s="1"/>
  <c r="Y35" i="7"/>
  <c r="AE35" i="7"/>
  <c r="W36" i="7"/>
  <c r="AC36" i="7"/>
  <c r="S37" i="7"/>
  <c r="Y37" i="7"/>
  <c r="AE37" i="7"/>
  <c r="W38" i="7"/>
  <c r="AC38" i="7"/>
  <c r="H39" i="7"/>
  <c r="W39" i="7"/>
  <c r="Y40" i="7"/>
  <c r="AE46" i="7"/>
  <c r="Y46" i="7"/>
  <c r="Y41" i="7"/>
  <c r="AC41" i="7"/>
  <c r="W42" i="7"/>
  <c r="AA42" i="7"/>
  <c r="AE42" i="7"/>
  <c r="W43" i="7"/>
  <c r="AC43" i="7"/>
  <c r="S44" i="7"/>
  <c r="T44" i="7" s="1"/>
  <c r="Y44" i="7"/>
  <c r="AE44" i="7"/>
  <c r="W45" i="7"/>
  <c r="AC45" i="7"/>
  <c r="W46" i="7"/>
  <c r="AF46" i="7" s="1"/>
  <c r="Y47" i="7"/>
  <c r="AE47" i="7"/>
  <c r="S48" i="7"/>
  <c r="T48" i="7" s="1"/>
  <c r="L49" i="7"/>
  <c r="M49" i="7" s="1"/>
  <c r="T52" i="7"/>
  <c r="H52" i="7"/>
  <c r="T53" i="7"/>
  <c r="H53" i="7"/>
  <c r="T55" i="7"/>
  <c r="H55" i="7"/>
  <c r="H56" i="7"/>
  <c r="T57" i="7"/>
  <c r="H57" i="7"/>
  <c r="H63" i="7"/>
  <c r="Y36" i="7"/>
  <c r="AE36" i="7"/>
  <c r="W37" i="7"/>
  <c r="AC37" i="7"/>
  <c r="Y38" i="7"/>
  <c r="AE38" i="7"/>
  <c r="Y39" i="7"/>
  <c r="AE39" i="7"/>
  <c r="W40" i="7"/>
  <c r="Y42" i="7"/>
  <c r="AC42" i="7"/>
  <c r="Y43" i="7"/>
  <c r="AE43" i="7"/>
  <c r="W44" i="7"/>
  <c r="AC44" i="7"/>
  <c r="Y45" i="7"/>
  <c r="AE50" i="7"/>
  <c r="W50" i="7"/>
  <c r="AE49" i="7"/>
  <c r="Y49" i="7"/>
  <c r="W48" i="7"/>
  <c r="AA47" i="7"/>
  <c r="W47" i="7"/>
  <c r="AF47" i="7" s="1"/>
  <c r="AC50" i="7"/>
  <c r="AC48" i="7"/>
  <c r="AC47" i="7"/>
  <c r="AE48" i="7"/>
  <c r="H49" i="7"/>
  <c r="W49" i="7"/>
  <c r="AF49" i="7" s="1"/>
  <c r="Y50" i="7"/>
  <c r="T51" i="7"/>
  <c r="H51" i="7"/>
  <c r="H54" i="7"/>
  <c r="T54" i="7"/>
  <c r="H58" i="7"/>
  <c r="T59" i="7"/>
  <c r="H59" i="7"/>
  <c r="H60" i="7"/>
  <c r="T61" i="7"/>
  <c r="H61" i="7"/>
  <c r="T62" i="7"/>
  <c r="H62" i="7"/>
  <c r="Y51" i="7"/>
  <c r="AE51" i="7"/>
  <c r="Y52" i="7"/>
  <c r="AE52" i="7"/>
  <c r="W54" i="7"/>
  <c r="AA54" i="7"/>
  <c r="AC54" i="7"/>
  <c r="W55" i="7"/>
  <c r="AC55" i="7"/>
  <c r="S56" i="7"/>
  <c r="T56" i="7" s="1"/>
  <c r="Y56" i="7"/>
  <c r="AE56" i="7"/>
  <c r="S57" i="7"/>
  <c r="S69" i="7" s="1"/>
  <c r="Y57" i="7"/>
  <c r="AE57" i="7"/>
  <c r="W58" i="7"/>
  <c r="AA58" i="7"/>
  <c r="AC58" i="7"/>
  <c r="W59" i="7"/>
  <c r="AC59" i="7"/>
  <c r="S60" i="7"/>
  <c r="T60" i="7" s="1"/>
  <c r="Y60" i="7"/>
  <c r="AE60" i="7"/>
  <c r="W61" i="7"/>
  <c r="AC61" i="7"/>
  <c r="AE63" i="7"/>
  <c r="Y63" i="7"/>
  <c r="Y62" i="7"/>
  <c r="AE62" i="7"/>
  <c r="L63" i="7"/>
  <c r="M63" i="7" s="1"/>
  <c r="AA64" i="7"/>
  <c r="AI72" i="7"/>
  <c r="H65" i="7"/>
  <c r="Y53" i="7"/>
  <c r="AF53" i="7" s="1"/>
  <c r="Y54" i="7"/>
  <c r="AE54" i="7"/>
  <c r="Y55" i="7"/>
  <c r="AE55" i="7"/>
  <c r="W56" i="7"/>
  <c r="AC56" i="7"/>
  <c r="Y58" i="7"/>
  <c r="AE58" i="7"/>
  <c r="Y59" i="7"/>
  <c r="AE59" i="7"/>
  <c r="W60" i="7"/>
  <c r="Y61" i="7"/>
  <c r="R64" i="7"/>
  <c r="AI64" i="7"/>
  <c r="U64" i="7"/>
  <c r="W72" i="7" s="1"/>
  <c r="E64" i="7"/>
  <c r="G64" i="7" s="1"/>
  <c r="H64" i="7"/>
  <c r="J64" i="7"/>
  <c r="L64" i="7" s="1"/>
  <c r="M64" i="7" s="1"/>
  <c r="Y72" i="7"/>
  <c r="AE72" i="7"/>
  <c r="W64" i="7"/>
  <c r="Y64" i="7"/>
  <c r="AE64" i="7"/>
  <c r="R65" i="7"/>
  <c r="AI65" i="7"/>
  <c r="E66" i="7"/>
  <c r="G66" i="7" s="1"/>
  <c r="H66" i="7" s="1"/>
  <c r="M66" i="7"/>
  <c r="W66" i="7"/>
  <c r="AI66" i="7"/>
  <c r="E67" i="7"/>
  <c r="G67" i="7" s="1"/>
  <c r="W67" i="7"/>
  <c r="AI67" i="7"/>
  <c r="E68" i="7"/>
  <c r="G68" i="7" s="1"/>
  <c r="M68" i="7"/>
  <c r="AI68" i="7"/>
  <c r="E69" i="7"/>
  <c r="G69" i="7" s="1"/>
  <c r="H69" i="7" s="1"/>
  <c r="M69" i="7"/>
  <c r="W69" i="7"/>
  <c r="AI69" i="7"/>
  <c r="E70" i="7"/>
  <c r="G70" i="7" s="1"/>
  <c r="T70" i="7" s="1"/>
  <c r="M70" i="7"/>
  <c r="W70" i="7"/>
  <c r="AI70" i="7"/>
  <c r="E71" i="7"/>
  <c r="G71" i="7" s="1"/>
  <c r="H71" i="7" s="1"/>
  <c r="M71" i="7"/>
  <c r="AI71" i="7"/>
  <c r="E72" i="7"/>
  <c r="G72" i="7" s="1"/>
  <c r="T72" i="7" s="1"/>
  <c r="M72" i="7"/>
  <c r="Y65" i="7"/>
  <c r="AE65" i="7"/>
  <c r="Y66" i="7"/>
  <c r="AE66" i="7"/>
  <c r="H67" i="7"/>
  <c r="Y67" i="7"/>
  <c r="AE68" i="7"/>
  <c r="Y69" i="7"/>
  <c r="AE69" i="7"/>
  <c r="Y70" i="7"/>
  <c r="AE70" i="7"/>
  <c r="Y71" i="7"/>
  <c r="AE71" i="7"/>
  <c r="AF26" i="7" l="1"/>
  <c r="AF6" i="7"/>
  <c r="AF37" i="7"/>
  <c r="T65" i="7"/>
  <c r="AF20" i="7"/>
  <c r="T71" i="7"/>
  <c r="AF34" i="7"/>
  <c r="T37" i="7"/>
  <c r="AG37" i="7" s="1"/>
  <c r="AJ37" i="7" s="1"/>
  <c r="AF5" i="7"/>
  <c r="T10" i="7"/>
  <c r="AF62" i="7"/>
  <c r="AG62" i="7" s="1"/>
  <c r="AJ62" i="7" s="1"/>
  <c r="AF52" i="7"/>
  <c r="AG52" i="7" s="1"/>
  <c r="AJ52" i="7" s="1"/>
  <c r="AF41" i="7"/>
  <c r="AF17" i="7"/>
  <c r="AF63" i="7"/>
  <c r="AF57" i="7"/>
  <c r="AF51" i="7"/>
  <c r="AF40" i="7"/>
  <c r="T58" i="7"/>
  <c r="W71" i="7"/>
  <c r="W65" i="7"/>
  <c r="AF45" i="7"/>
  <c r="AF35" i="7"/>
  <c r="AF29" i="7"/>
  <c r="T26" i="7"/>
  <c r="T20" i="7"/>
  <c r="H18" i="7"/>
  <c r="Y68" i="7"/>
  <c r="W68" i="7"/>
  <c r="AF68" i="7" s="1"/>
  <c r="AE67" i="7"/>
  <c r="T21" i="7"/>
  <c r="AG60" i="7"/>
  <c r="AJ60" i="7" s="1"/>
  <c r="AF72" i="7"/>
  <c r="H72" i="7"/>
  <c r="H70" i="7"/>
  <c r="H68" i="7"/>
  <c r="T64" i="7"/>
  <c r="AF60" i="7"/>
  <c r="AF56" i="7"/>
  <c r="AG56" i="7" s="1"/>
  <c r="AJ56" i="7" s="1"/>
  <c r="AF59" i="7"/>
  <c r="AF54" i="7"/>
  <c r="AG54" i="7" s="1"/>
  <c r="AJ54" i="7" s="1"/>
  <c r="AG61" i="7"/>
  <c r="AJ61" i="7" s="1"/>
  <c r="AG59" i="7"/>
  <c r="AJ59" i="7" s="1"/>
  <c r="AF50" i="7"/>
  <c r="AG50" i="7" s="1"/>
  <c r="AJ50" i="7" s="1"/>
  <c r="AF44" i="7"/>
  <c r="AG44" i="7" s="1"/>
  <c r="AJ44" i="7" s="1"/>
  <c r="AF43" i="7"/>
  <c r="AG43" i="7" s="1"/>
  <c r="AJ43" i="7" s="1"/>
  <c r="AF38" i="7"/>
  <c r="AF31" i="7"/>
  <c r="T35" i="7"/>
  <c r="AF22" i="7"/>
  <c r="AG22" i="7" s="1"/>
  <c r="AJ22" i="7" s="1"/>
  <c r="AF13" i="7"/>
  <c r="AG13" i="7" s="1"/>
  <c r="AJ13" i="7" s="1"/>
  <c r="T49" i="7"/>
  <c r="AG49" i="7" s="1"/>
  <c r="AJ49" i="7" s="1"/>
  <c r="AG47" i="7"/>
  <c r="AJ47" i="7" s="1"/>
  <c r="AG41" i="7"/>
  <c r="AJ41" i="7" s="1"/>
  <c r="AG40" i="7"/>
  <c r="AJ40" i="7" s="1"/>
  <c r="AF30" i="7"/>
  <c r="AF33" i="7"/>
  <c r="AG33" i="7" s="1"/>
  <c r="AJ33" i="7" s="1"/>
  <c r="AF24" i="7"/>
  <c r="AF25" i="7"/>
  <c r="AF21" i="7"/>
  <c r="AF14" i="7"/>
  <c r="AG14" i="7" s="1"/>
  <c r="AJ14" i="7" s="1"/>
  <c r="AF11" i="7"/>
  <c r="S66" i="7"/>
  <c r="T66" i="7" s="1"/>
  <c r="AC72" i="7"/>
  <c r="AC71" i="7"/>
  <c r="AF71" i="7" s="1"/>
  <c r="AG71" i="7" s="1"/>
  <c r="AC70" i="7"/>
  <c r="AC69" i="7"/>
  <c r="AF69" i="7" s="1"/>
  <c r="AC68" i="7"/>
  <c r="AC67" i="7"/>
  <c r="AF67" i="7" s="1"/>
  <c r="AC66" i="7"/>
  <c r="AF66" i="7" s="1"/>
  <c r="AC65" i="7"/>
  <c r="AC64" i="7"/>
  <c r="AF64" i="7" s="1"/>
  <c r="AF10" i="7"/>
  <c r="T32" i="7"/>
  <c r="AG21" i="7"/>
  <c r="AJ21" i="7" s="1"/>
  <c r="AG31" i="7"/>
  <c r="AJ31" i="7" s="1"/>
  <c r="T27" i="7"/>
  <c r="AG27" i="7" s="1"/>
  <c r="AJ27" i="7" s="1"/>
  <c r="AG25" i="7"/>
  <c r="AJ25" i="7" s="1"/>
  <c r="AG18" i="7"/>
  <c r="AJ18" i="7" s="1"/>
  <c r="AG72" i="7"/>
  <c r="AF70" i="7"/>
  <c r="AG70" i="7" s="1"/>
  <c r="T69" i="7"/>
  <c r="AF61" i="7"/>
  <c r="AF58" i="7"/>
  <c r="AG58" i="7" s="1"/>
  <c r="AJ58" i="7" s="1"/>
  <c r="AF55" i="7"/>
  <c r="AG51" i="7"/>
  <c r="AJ51" i="7" s="1"/>
  <c r="AF48" i="7"/>
  <c r="AG48" i="7" s="1"/>
  <c r="AJ48" i="7" s="1"/>
  <c r="T63" i="7"/>
  <c r="AG63" i="7" s="1"/>
  <c r="AJ63" i="7" s="1"/>
  <c r="AG57" i="7"/>
  <c r="AJ57" i="7" s="1"/>
  <c r="AG55" i="7"/>
  <c r="AJ55" i="7" s="1"/>
  <c r="AG53" i="7"/>
  <c r="AJ53" i="7" s="1"/>
  <c r="AF42" i="7"/>
  <c r="AF39" i="7"/>
  <c r="AG39" i="7" s="1"/>
  <c r="AJ39" i="7" s="1"/>
  <c r="AF36" i="7"/>
  <c r="AG36" i="7" s="1"/>
  <c r="AJ36" i="7" s="1"/>
  <c r="AG45" i="7"/>
  <c r="AJ45" i="7" s="1"/>
  <c r="AG42" i="7"/>
  <c r="AJ42" i="7" s="1"/>
  <c r="AF32" i="7"/>
  <c r="S67" i="7"/>
  <c r="T67" i="7" s="1"/>
  <c r="AG46" i="7"/>
  <c r="AJ46" i="7" s="1"/>
  <c r="AG38" i="7"/>
  <c r="AJ38" i="7" s="1"/>
  <c r="AG34" i="7"/>
  <c r="AJ34" i="7" s="1"/>
  <c r="T30" i="7"/>
  <c r="H30" i="7"/>
  <c r="T29" i="7"/>
  <c r="H29" i="7"/>
  <c r="AG26" i="7"/>
  <c r="AJ26" i="7" s="1"/>
  <c r="T24" i="7"/>
  <c r="AG24" i="7" s="1"/>
  <c r="AJ24" i="7" s="1"/>
  <c r="H24" i="7"/>
  <c r="AF19" i="7"/>
  <c r="AG19" i="7" s="1"/>
  <c r="AJ19" i="7" s="1"/>
  <c r="AF12" i="7"/>
  <c r="AG12" i="7" s="1"/>
  <c r="AJ12" i="7" s="1"/>
  <c r="AF7" i="7"/>
  <c r="AG7" i="7" s="1"/>
  <c r="AJ7" i="7" s="1"/>
  <c r="S68" i="7"/>
  <c r="T68" i="7" s="1"/>
  <c r="AG6" i="7"/>
  <c r="AJ6" i="7" s="1"/>
  <c r="AG28" i="7"/>
  <c r="AJ28" i="7" s="1"/>
  <c r="AG23" i="7"/>
  <c r="AJ23" i="7" s="1"/>
  <c r="AG17" i="7"/>
  <c r="AJ17" i="7" s="1"/>
  <c r="AG16" i="7"/>
  <c r="AJ16" i="7" s="1"/>
  <c r="T8" i="7"/>
  <c r="AG8" i="7" s="1"/>
  <c r="AJ8" i="7" s="1"/>
  <c r="AG15" i="7"/>
  <c r="AJ15" i="7" s="1"/>
  <c r="AG11" i="7"/>
  <c r="AJ11" i="7" s="1"/>
  <c r="AG5" i="7"/>
  <c r="AJ5" i="7" s="1"/>
  <c r="AK54" i="7" l="1"/>
  <c r="AJ70" i="7"/>
  <c r="AJ71" i="7"/>
  <c r="AG35" i="7"/>
  <c r="AJ35" i="7" s="1"/>
  <c r="AJ65" i="7" s="1"/>
  <c r="AK58" i="7"/>
  <c r="AF65" i="7"/>
  <c r="AG65" i="7" s="1"/>
  <c r="AG20" i="7"/>
  <c r="AJ20" i="7" s="1"/>
  <c r="AJ68" i="7" s="1"/>
  <c r="AG68" i="7"/>
  <c r="AG10" i="7"/>
  <c r="AJ10" i="7" s="1"/>
  <c r="AJ72" i="7" s="1"/>
  <c r="AG29" i="7"/>
  <c r="AJ29" i="7" s="1"/>
  <c r="AJ66" i="7" s="1"/>
  <c r="AG30" i="7"/>
  <c r="AJ30" i="7" s="1"/>
  <c r="AJ67" i="7" s="1"/>
  <c r="AG67" i="7"/>
  <c r="AK51" i="7"/>
  <c r="AJ64" i="7"/>
  <c r="AK15" i="7"/>
  <c r="AK23" i="7"/>
  <c r="AK34" i="7"/>
  <c r="AG69" i="7"/>
  <c r="AK18" i="7"/>
  <c r="AG32" i="7"/>
  <c r="AJ32" i="7" s="1"/>
  <c r="AK41" i="7"/>
  <c r="AK47" i="7"/>
  <c r="AK62" i="7"/>
  <c r="AK11" i="7"/>
  <c r="AK26" i="7"/>
  <c r="AG66" i="7"/>
  <c r="AG64" i="7"/>
  <c r="AK29" i="7" l="1"/>
  <c r="AJ69" i="7"/>
  <c r="AK5" i="7"/>
  <c r="AK64" i="7" s="1"/>
</calcChain>
</file>

<file path=xl/sharedStrings.xml><?xml version="1.0" encoding="utf-8"?>
<sst xmlns="http://schemas.openxmlformats.org/spreadsheetml/2006/main" count="322" uniqueCount="125">
  <si>
    <t>Д/с 2</t>
  </si>
  <si>
    <t>Д/с 4</t>
  </si>
  <si>
    <t>Д/с 6</t>
  </si>
  <si>
    <t>Д/с 7</t>
  </si>
  <si>
    <t>Д/с 8</t>
  </si>
  <si>
    <t>Д/с 12</t>
  </si>
  <si>
    <t>Д/с 13</t>
  </si>
  <si>
    <t>Д/с 14</t>
  </si>
  <si>
    <t>Д/с 16</t>
  </si>
  <si>
    <t>Д/с 17</t>
  </si>
  <si>
    <t>Д/с 20</t>
  </si>
  <si>
    <t>Д/с 21</t>
  </si>
  <si>
    <t>Д/с 22</t>
  </si>
  <si>
    <t>Д/с 23</t>
  </si>
  <si>
    <t>Д/с 24</t>
  </si>
  <si>
    <t>Д/с 27</t>
  </si>
  <si>
    <t>Д/с 29</t>
  </si>
  <si>
    <t>Д/с 30</t>
  </si>
  <si>
    <t>Д/с 32</t>
  </si>
  <si>
    <t>Д/с 35</t>
  </si>
  <si>
    <t>Д/с 36</t>
  </si>
  <si>
    <t>Д/с 37</t>
  </si>
  <si>
    <t>Д/с 38</t>
  </si>
  <si>
    <t>Д/с 41</t>
  </si>
  <si>
    <t>Д/с 42</t>
  </si>
  <si>
    <t>Содержание муниципальной услуги или работы</t>
  </si>
  <si>
    <t>Реализация основной общеобразовательной программы дошкольного образования</t>
  </si>
  <si>
    <t>Реализация адаптированной общеобразовательной программы дошкольного образования</t>
  </si>
  <si>
    <t>Кол-во групп</t>
  </si>
  <si>
    <t>Кол-во ставок пед.работников</t>
  </si>
  <si>
    <t>проверка</t>
  </si>
  <si>
    <t>Кол-во ставок мл.воспитателей</t>
  </si>
  <si>
    <t>Кол-во получателей услуги, воспитанников.</t>
  </si>
  <si>
    <t>Наименование учреждения</t>
  </si>
  <si>
    <t>Цена единицы ресурса (годовой ФОТ с начислениями)</t>
  </si>
  <si>
    <t>Норма ресурса на единицу услуги (потребность пед.работников на одного воспитанника)</t>
  </si>
  <si>
    <t>Норма ресурса на единицу услуги (потребность мл.воспитателей на одного воспитанника)</t>
  </si>
  <si>
    <t>Нормативные затраты на единицу услуги в год (затраты на оплату труда с начислениями на выплаты по оплате работников, непосредственно связанных с оказанием муниципальной услуги) (руб.)</t>
  </si>
  <si>
    <t>Затраты, непосредственно связанные с оказанием муниципальной услуги (руб.)</t>
  </si>
  <si>
    <t>Базовый норматив затрат, непосредственно связанных с оказанием муниципальной услуги (руб.)</t>
  </si>
  <si>
    <t>Итого</t>
  </si>
  <si>
    <t>Нормативные затраты, непосредственно связанные с оказанием муниципальной услуги</t>
  </si>
  <si>
    <t>Плановые затраты на коммунальные услуги (руб.)</t>
  </si>
  <si>
    <t>Нормативные затраты на единицу услуги в год (затраты на коммунальные услуги)(руб.)</t>
  </si>
  <si>
    <t>Плановые затраты на содержание объектов недвижимого имущества, эксплуатируемого в процессе оказания муниципальной услуги (руб.)</t>
  </si>
  <si>
    <t>Нормативные затраты на единицу услуги в год (затраты на содержание объектов недвижимого имущества)(руб.)</t>
  </si>
  <si>
    <t>Плановые затраты на приобретение услуг связи (руб.)</t>
  </si>
  <si>
    <t>Нормативные затраты на единицу услуги в год (затраты на услуги связи)(руб.)</t>
  </si>
  <si>
    <t>Плановые затраты на приобретение транспортных услуг (руб.)</t>
  </si>
  <si>
    <t>Нормативные затраты на единицу услуги в год (затраты на транспортные услуги)(руб.)</t>
  </si>
  <si>
    <t>Плановые 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 (руб.)</t>
  </si>
  <si>
    <t>Нормативные затраты на единицу услуги в год (затраты на оплату труда с начислениями на выплаты по оплате труда работников, которые не принимают непосредственного участия в оказании муниципальной услуги) (руб.)</t>
  </si>
  <si>
    <t>Плановые затраты на прочие общехозяйственные нужды на оказание муниципальной услуги (руб.)</t>
  </si>
  <si>
    <t>Нормативные затраты на единицу услуги в год (затраты на прочие общехозяйственные нужды)(руб.)</t>
  </si>
  <si>
    <t>Нормативные затраты на общехозяйственные нужды на оказание муниципальной услуги</t>
  </si>
  <si>
    <t>Базовый норматив затрат на общехозяйственные нужды на оказание муниципальной услуги (руб.)</t>
  </si>
  <si>
    <t>Базовый норматив затрат на оказание муниципальной услуги (руб.)</t>
  </si>
  <si>
    <t>Затраты на уплату налогов (руб)</t>
  </si>
  <si>
    <t>Объем финансового обеспечения выполнения муниципального задания (руб.)</t>
  </si>
  <si>
    <t>По бюджетным заявкам</t>
  </si>
  <si>
    <t>Д/с 46</t>
  </si>
  <si>
    <t>Общее полезное время работы учреждения на 2022 год (с учетом 247 рабочих дней в году )</t>
  </si>
  <si>
    <t>НА 2023 год</t>
  </si>
  <si>
    <t>увеличение на 10%</t>
  </si>
  <si>
    <t>Кол-во получателей услуги, учащихся</t>
  </si>
  <si>
    <t xml:space="preserve">Кол-во ставок учителей </t>
  </si>
  <si>
    <t>Норма ресурса на единицу услуги (потребность учителей на одного воспитанника)</t>
  </si>
  <si>
    <t>Норма ресурса на единицу услуги (потребность пед.раб. на одного воспитанника)</t>
  </si>
  <si>
    <t>Общее полезное время работы учреждения на 2022 год (с учетом 35 недель*6 рабочих дней в году)</t>
  </si>
  <si>
    <t>По бюджет.заявкам</t>
  </si>
  <si>
    <t>Школа 3</t>
  </si>
  <si>
    <t>Реализация основной общеобразовательной программы начального общего образования</t>
  </si>
  <si>
    <t>Реализация основной общеобразовательной программы основного общего образования</t>
  </si>
  <si>
    <t>Реализация основной общеобразовательной программы основного общего образования,обесп. углубл.изуч. отд.учебных предметов</t>
  </si>
  <si>
    <t>Реализация основной общеобразовательной программы среднего общего образования</t>
  </si>
  <si>
    <t>Реализация основной общеобразовательной программы среднего общего образования,обесп. углубл.изуч. отд.учебных предметов</t>
  </si>
  <si>
    <t>Школа 4</t>
  </si>
  <si>
    <t>Реализация адаптированной образовательной программы начального общего образования</t>
  </si>
  <si>
    <t>Школа 6</t>
  </si>
  <si>
    <t>Школа 9</t>
  </si>
  <si>
    <t>Реализация адаптированной общеобразовательной программы основного общего образования</t>
  </si>
  <si>
    <t>Школа 10</t>
  </si>
  <si>
    <t>Школа 11</t>
  </si>
  <si>
    <t>Школа 12</t>
  </si>
  <si>
    <t>Школа 14</t>
  </si>
  <si>
    <t>Реализация адаптированной образовательной программы дошкольного образования</t>
  </si>
  <si>
    <t>Школа 17</t>
  </si>
  <si>
    <t>Школа 18</t>
  </si>
  <si>
    <t>Школа 20</t>
  </si>
  <si>
    <t>Коневская школа</t>
  </si>
  <si>
    <t>Липовская школа</t>
  </si>
  <si>
    <t>Истоминская школа</t>
  </si>
  <si>
    <t>На 2023 год</t>
  </si>
  <si>
    <t>затраты на содержание имущества учреждения, не используемого для оказания муниципальных услуг и для общехозяйственных нужд (руб.)</t>
  </si>
  <si>
    <t xml:space="preserve">Показатель объема  услуги, человеко-часы </t>
  </si>
  <si>
    <t>ЦВР</t>
  </si>
  <si>
    <t>Реализация дополнительных общеразвивающих программ</t>
  </si>
  <si>
    <t>ЦДТ</t>
  </si>
  <si>
    <t>Дом Москвы</t>
  </si>
  <si>
    <t>Реализация дополнительных предпрофессиональных программ в области физической культуры и спорта</t>
  </si>
  <si>
    <t>ДЮСШ</t>
  </si>
  <si>
    <t>Дзерж.</t>
  </si>
  <si>
    <t>Организация отдыха детей и молодежи</t>
  </si>
  <si>
    <t>ИДЦ</t>
  </si>
  <si>
    <t>Реализация дополнительных профессиональных образовательных программ повышения квалификации</t>
  </si>
  <si>
    <t>Базовая услуга</t>
  </si>
  <si>
    <t>Отраслевой корректирующий коэффициент</t>
  </si>
  <si>
    <t>50.Д45.0 Реализация основных общеобразовательных программ дошкольного образования</t>
  </si>
  <si>
    <t>50.Д45.0 Реализация основных общеобразовательных программ дошкольного образования (адаптированная образовательная программа)</t>
  </si>
  <si>
    <t>34.787.0 Реализация основных общеобразовательных программ начального общего образования</t>
  </si>
  <si>
    <t>34.787.0 Реализация основных общеобразовательных программ начального общего образования (адаптированная образовательная программа)</t>
  </si>
  <si>
    <t>35.791.0 Реализация основных общеобразовательных программ основного общего образования</t>
  </si>
  <si>
    <t>35.791.0 Реализация основных общеобразовательных программ основного общего образования (адаптированная образовательная программа)</t>
  </si>
  <si>
    <t>35.791.0 Реализация основных общеобразовательных программ основного общего образования (углубленное изучение отд.предметов)</t>
  </si>
  <si>
    <t>36.794.0 Реализация основных общеобразовательных программ среднего общего образования</t>
  </si>
  <si>
    <t>36.794.0 Реализация основных общеобразовательных программ среднего общего образования (углубленное изучение отдельных предметов)</t>
  </si>
  <si>
    <t>Учреждения дополнительного образования детей и прочие учреждения</t>
  </si>
  <si>
    <t>42.Г42.0 Реализация дополнительных общеразвивающих программ</t>
  </si>
  <si>
    <t>10.028.0 Организация отдыха детей и молодежи</t>
  </si>
  <si>
    <t xml:space="preserve">Приложение 4 к приказу УО и СПЗД </t>
  </si>
  <si>
    <t>42.Д42.0 Реализация дополнительных предпрофессиональных программ в области физической культуры и спорта</t>
  </si>
  <si>
    <t>43.Г48.0 Реализация дополнительных профессиональных программ повышения квалификации</t>
  </si>
  <si>
    <t>Дошкольные образовательные учреждения</t>
  </si>
  <si>
    <t>Общеобразовательные учреждения</t>
  </si>
  <si>
    <t>МБУ "ИДЦ"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</si>
</sst>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000"/>
    <numFmt numFmtId="166" formatCode="#,##0.000"/>
    <numFmt numFmtId="167" formatCode="#,##0.0000"/>
  </numFmts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.5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4" fillId="0" borderId="0"/>
  </cellStyleXfs>
  <cellXfs count="153">
    <xf numFmtId="0" fontId="0" fillId="0" borderId="0" xfId="0"/>
    <xf numFmtId="164" fontId="1" fillId="0" borderId="2" xfId="0" applyNumberFormat="1" applyFont="1" applyBorder="1"/>
    <xf numFmtId="0" fontId="3" fillId="0" borderId="0" xfId="0" applyFont="1"/>
    <xf numFmtId="0" fontId="3" fillId="0" borderId="16" xfId="0" applyFont="1" applyBorder="1" applyAlignment="1">
      <alignment wrapText="1"/>
    </xf>
    <xf numFmtId="0" fontId="7" fillId="0" borderId="15" xfId="0" applyFont="1" applyBorder="1" applyAlignment="1">
      <alignment wrapText="1"/>
    </xf>
    <xf numFmtId="0" fontId="7" fillId="0" borderId="0" xfId="0" applyFont="1"/>
    <xf numFmtId="0" fontId="7" fillId="0" borderId="15" xfId="0" applyFont="1" applyFill="1" applyBorder="1" applyAlignment="1">
      <alignment wrapText="1"/>
    </xf>
    <xf numFmtId="0" fontId="7" fillId="0" borderId="5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15" xfId="0" applyFont="1" applyFill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2" xfId="0" applyFont="1" applyFill="1" applyBorder="1"/>
    <xf numFmtId="0" fontId="3" fillId="0" borderId="2" xfId="0" applyFont="1" applyBorder="1"/>
    <xf numFmtId="4" fontId="3" fillId="0" borderId="2" xfId="0" applyNumberFormat="1" applyFont="1" applyBorder="1" applyAlignment="1"/>
    <xf numFmtId="4" fontId="3" fillId="0" borderId="2" xfId="0" applyNumberFormat="1" applyFont="1" applyBorder="1"/>
    <xf numFmtId="0" fontId="3" fillId="0" borderId="2" xfId="0" applyFont="1" applyBorder="1" applyAlignment="1">
      <alignment wrapText="1"/>
    </xf>
    <xf numFmtId="0" fontId="3" fillId="0" borderId="2" xfId="0" applyFont="1" applyFill="1" applyBorder="1"/>
    <xf numFmtId="164" fontId="3" fillId="0" borderId="2" xfId="0" applyNumberFormat="1" applyFont="1" applyBorder="1"/>
    <xf numFmtId="1" fontId="3" fillId="0" borderId="2" xfId="0" applyNumberFormat="1" applyFont="1" applyBorder="1"/>
    <xf numFmtId="2" fontId="3" fillId="0" borderId="2" xfId="0" applyNumberFormat="1" applyFont="1" applyBorder="1"/>
    <xf numFmtId="165" fontId="3" fillId="0" borderId="2" xfId="0" applyNumberFormat="1" applyFont="1" applyBorder="1"/>
    <xf numFmtId="3" fontId="3" fillId="0" borderId="2" xfId="0" applyNumberFormat="1" applyFont="1" applyBorder="1"/>
    <xf numFmtId="4" fontId="5" fillId="0" borderId="2" xfId="0" applyNumberFormat="1" applyFont="1" applyBorder="1"/>
    <xf numFmtId="3" fontId="3" fillId="0" borderId="2" xfId="0" applyNumberFormat="1" applyFont="1" applyBorder="1" applyAlignment="1"/>
    <xf numFmtId="166" fontId="3" fillId="0" borderId="2" xfId="0" applyNumberFormat="1" applyFont="1" applyBorder="1" applyAlignment="1"/>
    <xf numFmtId="4" fontId="7" fillId="3" borderId="2" xfId="0" applyNumberFormat="1" applyFont="1" applyFill="1" applyBorder="1"/>
    <xf numFmtId="4" fontId="7" fillId="3" borderId="6" xfId="0" applyNumberFormat="1" applyFont="1" applyFill="1" applyBorder="1"/>
    <xf numFmtId="0" fontId="3" fillId="3" borderId="2" xfId="0" applyFont="1" applyFill="1" applyBorder="1"/>
    <xf numFmtId="3" fontId="3" fillId="3" borderId="2" xfId="0" applyNumberFormat="1" applyFont="1" applyFill="1" applyBorder="1" applyAlignment="1"/>
    <xf numFmtId="167" fontId="3" fillId="0" borderId="2" xfId="0" applyNumberFormat="1" applyFont="1" applyBorder="1" applyAlignment="1"/>
    <xf numFmtId="4" fontId="7" fillId="2" borderId="2" xfId="0" applyNumberFormat="1" applyFont="1" applyFill="1" applyBorder="1"/>
    <xf numFmtId="0" fontId="3" fillId="4" borderId="2" xfId="0" applyFont="1" applyFill="1" applyBorder="1"/>
    <xf numFmtId="0" fontId="3" fillId="0" borderId="6" xfId="0" applyFont="1" applyBorder="1"/>
    <xf numFmtId="166" fontId="5" fillId="0" borderId="2" xfId="0" applyNumberFormat="1" applyFont="1" applyBorder="1"/>
    <xf numFmtId="0" fontId="3" fillId="0" borderId="2" xfId="0" applyNumberFormat="1" applyFont="1" applyBorder="1" applyAlignment="1"/>
    <xf numFmtId="0" fontId="5" fillId="0" borderId="0" xfId="0" applyFont="1"/>
    <xf numFmtId="0" fontId="2" fillId="0" borderId="16" xfId="0" applyFont="1" applyBorder="1" applyAlignment="1">
      <alignment wrapText="1"/>
    </xf>
    <xf numFmtId="0" fontId="2" fillId="0" borderId="15" xfId="0" applyFont="1" applyBorder="1" applyAlignment="1">
      <alignment wrapText="1"/>
    </xf>
    <xf numFmtId="0" fontId="2" fillId="0" borderId="2" xfId="0" applyFont="1" applyBorder="1"/>
    <xf numFmtId="0" fontId="2" fillId="0" borderId="0" xfId="0" applyFont="1"/>
    <xf numFmtId="0" fontId="2" fillId="0" borderId="1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8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4" fontId="1" fillId="0" borderId="2" xfId="0" applyNumberFormat="1" applyFont="1" applyBorder="1" applyAlignment="1"/>
    <xf numFmtId="4" fontId="1" fillId="3" borderId="2" xfId="0" applyNumberFormat="1" applyFont="1" applyFill="1" applyBorder="1"/>
    <xf numFmtId="4" fontId="1" fillId="0" borderId="2" xfId="0" applyNumberFormat="1" applyFont="1" applyBorder="1"/>
    <xf numFmtId="164" fontId="9" fillId="0" borderId="2" xfId="0" applyNumberFormat="1" applyFont="1" applyBorder="1" applyAlignment="1">
      <alignment horizontal="right"/>
    </xf>
    <xf numFmtId="3" fontId="1" fillId="0" borderId="2" xfId="0" applyNumberFormat="1" applyFont="1" applyBorder="1"/>
    <xf numFmtId="167" fontId="1" fillId="0" borderId="2" xfId="0" applyNumberFormat="1" applyFont="1" applyBorder="1" applyAlignment="1"/>
    <xf numFmtId="4" fontId="2" fillId="0" borderId="2" xfId="0" applyNumberFormat="1" applyFont="1" applyBorder="1"/>
    <xf numFmtId="3" fontId="1" fillId="0" borderId="3" xfId="0" applyNumberFormat="1" applyFont="1" applyBorder="1" applyAlignment="1"/>
    <xf numFmtId="3" fontId="1" fillId="3" borderId="2" xfId="0" applyNumberFormat="1" applyFont="1" applyFill="1" applyBorder="1" applyAlignment="1"/>
    <xf numFmtId="166" fontId="1" fillId="0" borderId="3" xfId="0" applyNumberFormat="1" applyFont="1" applyBorder="1" applyAlignment="1"/>
    <xf numFmtId="166" fontId="2" fillId="0" borderId="2" xfId="0" applyNumberFormat="1" applyFont="1" applyBorder="1"/>
    <xf numFmtId="0" fontId="1" fillId="0" borderId="6" xfId="0" applyFont="1" applyBorder="1"/>
    <xf numFmtId="165" fontId="1" fillId="0" borderId="2" xfId="0" applyNumberFormat="1" applyFont="1" applyBorder="1"/>
    <xf numFmtId="0" fontId="1" fillId="0" borderId="3" xfId="0" applyFont="1" applyBorder="1"/>
    <xf numFmtId="3" fontId="1" fillId="3" borderId="3" xfId="0" applyNumberFormat="1" applyFont="1" applyFill="1" applyBorder="1" applyAlignment="1"/>
    <xf numFmtId="0" fontId="1" fillId="3" borderId="2" xfId="0" applyFont="1" applyFill="1" applyBorder="1"/>
    <xf numFmtId="0" fontId="1" fillId="3" borderId="2" xfId="0" applyFont="1" applyFill="1" applyBorder="1" applyAlignment="1">
      <alignment wrapText="1"/>
    </xf>
    <xf numFmtId="3" fontId="1" fillId="3" borderId="2" xfId="0" applyNumberFormat="1" applyFont="1" applyFill="1" applyBorder="1"/>
    <xf numFmtId="4" fontId="1" fillId="3" borderId="2" xfId="0" applyNumberFormat="1" applyFont="1" applyFill="1" applyBorder="1" applyAlignment="1"/>
    <xf numFmtId="4" fontId="2" fillId="3" borderId="2" xfId="0" applyNumberFormat="1" applyFont="1" applyFill="1" applyBorder="1"/>
    <xf numFmtId="166" fontId="1" fillId="3" borderId="3" xfId="0" applyNumberFormat="1" applyFont="1" applyFill="1" applyBorder="1" applyAlignment="1"/>
    <xf numFmtId="166" fontId="2" fillId="3" borderId="2" xfId="0" applyNumberFormat="1" applyFont="1" applyFill="1" applyBorder="1"/>
    <xf numFmtId="0" fontId="1" fillId="3" borderId="6" xfId="0" applyFont="1" applyFill="1" applyBorder="1"/>
    <xf numFmtId="3" fontId="1" fillId="0" borderId="2" xfId="0" applyNumberFormat="1" applyFont="1" applyBorder="1" applyAlignment="1"/>
    <xf numFmtId="166" fontId="1" fillId="0" borderId="2" xfId="0" applyNumberFormat="1" applyFont="1" applyBorder="1" applyAlignment="1"/>
    <xf numFmtId="0" fontId="1" fillId="0" borderId="16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0" xfId="0" applyFont="1"/>
    <xf numFmtId="0" fontId="1" fillId="0" borderId="5" xfId="0" applyFont="1" applyFill="1" applyBorder="1" applyAlignment="1">
      <alignment wrapText="1"/>
    </xf>
    <xf numFmtId="0" fontId="1" fillId="0" borderId="15" xfId="0" applyFont="1" applyFill="1" applyBorder="1" applyAlignment="1">
      <alignment wrapText="1"/>
    </xf>
    <xf numFmtId="0" fontId="7" fillId="0" borderId="2" xfId="0" applyFont="1" applyBorder="1"/>
    <xf numFmtId="0" fontId="6" fillId="0" borderId="2" xfId="0" applyFont="1" applyBorder="1"/>
    <xf numFmtId="166" fontId="1" fillId="0" borderId="2" xfId="0" applyNumberFormat="1" applyFont="1" applyBorder="1"/>
    <xf numFmtId="0" fontId="11" fillId="0" borderId="0" xfId="0" applyFont="1" applyAlignment="1"/>
    <xf numFmtId="0" fontId="12" fillId="0" borderId="17" xfId="0" applyFont="1" applyBorder="1" applyAlignment="1"/>
    <xf numFmtId="0" fontId="13" fillId="0" borderId="0" xfId="0" applyFont="1" applyBorder="1" applyAlignment="1"/>
    <xf numFmtId="0" fontId="7" fillId="0" borderId="2" xfId="0" applyFont="1" applyBorder="1" applyAlignment="1">
      <alignment vertical="top" wrapText="1"/>
    </xf>
    <xf numFmtId="0" fontId="13" fillId="0" borderId="2" xfId="0" applyFont="1" applyBorder="1"/>
    <xf numFmtId="0" fontId="7" fillId="0" borderId="2" xfId="1" applyFont="1" applyBorder="1" applyAlignment="1">
      <alignment vertical="top" wrapText="1"/>
    </xf>
    <xf numFmtId="0" fontId="12" fillId="0" borderId="0" xfId="0" applyFont="1" applyBorder="1" applyAlignment="1"/>
    <xf numFmtId="0" fontId="12" fillId="0" borderId="0" xfId="0" applyFont="1"/>
    <xf numFmtId="0" fontId="11" fillId="0" borderId="2" xfId="0" applyFont="1" applyBorder="1"/>
    <xf numFmtId="0" fontId="7" fillId="0" borderId="21" xfId="1" applyFont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11" fillId="0" borderId="2" xfId="0" applyFont="1" applyBorder="1" applyAlignment="1">
      <alignment wrapText="1"/>
    </xf>
    <xf numFmtId="0" fontId="0" fillId="0" borderId="2" xfId="0" applyFont="1" applyBorder="1"/>
    <xf numFmtId="0" fontId="15" fillId="0" borderId="2" xfId="0" applyFont="1" applyBorder="1" applyAlignment="1">
      <alignment wrapText="1"/>
    </xf>
    <xf numFmtId="0" fontId="10" fillId="0" borderId="0" xfId="0" applyFont="1"/>
    <xf numFmtId="0" fontId="1" fillId="0" borderId="2" xfId="0" applyFont="1" applyBorder="1" applyAlignment="1">
      <alignment horizontal="left"/>
    </xf>
    <xf numFmtId="0" fontId="3" fillId="3" borderId="0" xfId="0" applyFont="1" applyFill="1"/>
    <xf numFmtId="0" fontId="8" fillId="0" borderId="2" xfId="0" applyFont="1" applyBorder="1" applyAlignment="1">
      <alignment horizontal="center"/>
    </xf>
    <xf numFmtId="0" fontId="5" fillId="0" borderId="2" xfId="0" applyFont="1" applyBorder="1"/>
    <xf numFmtId="0" fontId="8" fillId="0" borderId="2" xfId="0" applyFont="1" applyFill="1" applyBorder="1" applyAlignment="1">
      <alignment horizontal="center"/>
    </xf>
    <xf numFmtId="0" fontId="5" fillId="0" borderId="1" xfId="0" applyFont="1" applyBorder="1"/>
    <xf numFmtId="0" fontId="3" fillId="0" borderId="1" xfId="0" applyFont="1" applyBorder="1"/>
    <xf numFmtId="0" fontId="3" fillId="0" borderId="18" xfId="0" applyFont="1" applyBorder="1"/>
    <xf numFmtId="0" fontId="1" fillId="0" borderId="20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0" borderId="18" xfId="0" applyFont="1" applyBorder="1"/>
    <xf numFmtId="1" fontId="1" fillId="0" borderId="2" xfId="0" applyNumberFormat="1" applyFont="1" applyBorder="1"/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17" xfId="0" applyFont="1" applyBorder="1" applyAlignment="1">
      <alignment horizontal="center"/>
    </xf>
    <xf numFmtId="0" fontId="3" fillId="0" borderId="8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8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6" fillId="0" borderId="19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6" fillId="0" borderId="14" xfId="0" applyFont="1" applyFill="1" applyBorder="1" applyAlignment="1">
      <alignment horizontal="center" wrapText="1"/>
    </xf>
    <xf numFmtId="0" fontId="1" fillId="0" borderId="15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 wrapText="1"/>
    </xf>
    <xf numFmtId="0" fontId="1" fillId="0" borderId="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6" fillId="0" borderId="0" xfId="1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2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wmf"/><Relationship Id="rId13" Type="http://schemas.openxmlformats.org/officeDocument/2006/relationships/image" Target="../media/image13.wmf"/><Relationship Id="rId18" Type="http://schemas.openxmlformats.org/officeDocument/2006/relationships/image" Target="../media/image18.wmf"/><Relationship Id="rId3" Type="http://schemas.openxmlformats.org/officeDocument/2006/relationships/image" Target="../media/image3.wmf"/><Relationship Id="rId21" Type="http://schemas.openxmlformats.org/officeDocument/2006/relationships/image" Target="../media/image21.png"/><Relationship Id="rId7" Type="http://schemas.openxmlformats.org/officeDocument/2006/relationships/image" Target="../media/image7.wmf"/><Relationship Id="rId12" Type="http://schemas.openxmlformats.org/officeDocument/2006/relationships/image" Target="../media/image12.wmf"/><Relationship Id="rId17" Type="http://schemas.openxmlformats.org/officeDocument/2006/relationships/image" Target="../media/image17.wmf"/><Relationship Id="rId2" Type="http://schemas.openxmlformats.org/officeDocument/2006/relationships/image" Target="../media/image2.wmf"/><Relationship Id="rId16" Type="http://schemas.openxmlformats.org/officeDocument/2006/relationships/image" Target="../media/image16.wmf"/><Relationship Id="rId20" Type="http://schemas.openxmlformats.org/officeDocument/2006/relationships/image" Target="../media/image20.png"/><Relationship Id="rId1" Type="http://schemas.openxmlformats.org/officeDocument/2006/relationships/image" Target="../media/image1.wmf"/><Relationship Id="rId6" Type="http://schemas.openxmlformats.org/officeDocument/2006/relationships/image" Target="../media/image6.wmf"/><Relationship Id="rId11" Type="http://schemas.openxmlformats.org/officeDocument/2006/relationships/image" Target="../media/image11.wmf"/><Relationship Id="rId24" Type="http://schemas.openxmlformats.org/officeDocument/2006/relationships/image" Target="../media/image24.png"/><Relationship Id="rId5" Type="http://schemas.openxmlformats.org/officeDocument/2006/relationships/image" Target="../media/image5.wmf"/><Relationship Id="rId15" Type="http://schemas.openxmlformats.org/officeDocument/2006/relationships/image" Target="../media/image15.wmf"/><Relationship Id="rId23" Type="http://schemas.openxmlformats.org/officeDocument/2006/relationships/image" Target="../media/image23.png"/><Relationship Id="rId10" Type="http://schemas.openxmlformats.org/officeDocument/2006/relationships/image" Target="../media/image10.wmf"/><Relationship Id="rId19" Type="http://schemas.openxmlformats.org/officeDocument/2006/relationships/image" Target="../media/image19.wmf"/><Relationship Id="rId4" Type="http://schemas.openxmlformats.org/officeDocument/2006/relationships/image" Target="../media/image4.wmf"/><Relationship Id="rId9" Type="http://schemas.openxmlformats.org/officeDocument/2006/relationships/image" Target="../media/image9.wmf"/><Relationship Id="rId14" Type="http://schemas.openxmlformats.org/officeDocument/2006/relationships/image" Target="../media/image14.wmf"/><Relationship Id="rId22" Type="http://schemas.openxmlformats.org/officeDocument/2006/relationships/image" Target="../media/image22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wmf"/><Relationship Id="rId13" Type="http://schemas.openxmlformats.org/officeDocument/2006/relationships/image" Target="../media/image8.wmf"/><Relationship Id="rId18" Type="http://schemas.openxmlformats.org/officeDocument/2006/relationships/image" Target="../media/image23.png"/><Relationship Id="rId3" Type="http://schemas.openxmlformats.org/officeDocument/2006/relationships/image" Target="../media/image12.wmf"/><Relationship Id="rId21" Type="http://schemas.openxmlformats.org/officeDocument/2006/relationships/image" Target="../media/image19.wmf"/><Relationship Id="rId7" Type="http://schemas.openxmlformats.org/officeDocument/2006/relationships/image" Target="../media/image22.png"/><Relationship Id="rId12" Type="http://schemas.openxmlformats.org/officeDocument/2006/relationships/image" Target="../media/image14.wmf"/><Relationship Id="rId17" Type="http://schemas.openxmlformats.org/officeDocument/2006/relationships/image" Target="../media/image10.wmf"/><Relationship Id="rId2" Type="http://schemas.openxmlformats.org/officeDocument/2006/relationships/image" Target="../media/image2.wmf"/><Relationship Id="rId16" Type="http://schemas.openxmlformats.org/officeDocument/2006/relationships/image" Target="../media/image17.wmf"/><Relationship Id="rId20" Type="http://schemas.openxmlformats.org/officeDocument/2006/relationships/image" Target="../media/image24.png"/><Relationship Id="rId1" Type="http://schemas.openxmlformats.org/officeDocument/2006/relationships/image" Target="../media/image1.wmf"/><Relationship Id="rId6" Type="http://schemas.openxmlformats.org/officeDocument/2006/relationships/image" Target="../media/image21.png"/><Relationship Id="rId11" Type="http://schemas.openxmlformats.org/officeDocument/2006/relationships/image" Target="../media/image6.wmf"/><Relationship Id="rId5" Type="http://schemas.openxmlformats.org/officeDocument/2006/relationships/image" Target="../media/image20.png"/><Relationship Id="rId15" Type="http://schemas.openxmlformats.org/officeDocument/2006/relationships/image" Target="../media/image9.wmf"/><Relationship Id="rId10" Type="http://schemas.openxmlformats.org/officeDocument/2006/relationships/image" Target="../media/image13.wmf"/><Relationship Id="rId19" Type="http://schemas.openxmlformats.org/officeDocument/2006/relationships/image" Target="../media/image11.wmf"/><Relationship Id="rId4" Type="http://schemas.openxmlformats.org/officeDocument/2006/relationships/image" Target="../media/image3.wmf"/><Relationship Id="rId9" Type="http://schemas.openxmlformats.org/officeDocument/2006/relationships/image" Target="../media/image5.wmf"/><Relationship Id="rId14" Type="http://schemas.openxmlformats.org/officeDocument/2006/relationships/image" Target="../media/image16.wmf"/><Relationship Id="rId22" Type="http://schemas.openxmlformats.org/officeDocument/2006/relationships/image" Target="../media/image18.wmf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wmf"/><Relationship Id="rId13" Type="http://schemas.openxmlformats.org/officeDocument/2006/relationships/image" Target="../media/image7.wmf"/><Relationship Id="rId18" Type="http://schemas.openxmlformats.org/officeDocument/2006/relationships/image" Target="../media/image17.wmf"/><Relationship Id="rId3" Type="http://schemas.openxmlformats.org/officeDocument/2006/relationships/image" Target="../media/image12.wmf"/><Relationship Id="rId21" Type="http://schemas.openxmlformats.org/officeDocument/2006/relationships/image" Target="../media/image23.png"/><Relationship Id="rId7" Type="http://schemas.openxmlformats.org/officeDocument/2006/relationships/image" Target="../media/image22.png"/><Relationship Id="rId12" Type="http://schemas.openxmlformats.org/officeDocument/2006/relationships/image" Target="../media/image14.wmf"/><Relationship Id="rId17" Type="http://schemas.openxmlformats.org/officeDocument/2006/relationships/image" Target="../media/image9.wmf"/><Relationship Id="rId25" Type="http://schemas.openxmlformats.org/officeDocument/2006/relationships/image" Target="../media/image18.wmf"/><Relationship Id="rId2" Type="http://schemas.openxmlformats.org/officeDocument/2006/relationships/image" Target="../media/image1.wmf"/><Relationship Id="rId16" Type="http://schemas.openxmlformats.org/officeDocument/2006/relationships/image" Target="../media/image16.wmf"/><Relationship Id="rId20" Type="http://schemas.openxmlformats.org/officeDocument/2006/relationships/image" Target="../media/image11.wmf"/><Relationship Id="rId1" Type="http://schemas.openxmlformats.org/officeDocument/2006/relationships/image" Target="../media/image2.wmf"/><Relationship Id="rId6" Type="http://schemas.openxmlformats.org/officeDocument/2006/relationships/image" Target="../media/image21.png"/><Relationship Id="rId11" Type="http://schemas.openxmlformats.org/officeDocument/2006/relationships/image" Target="../media/image6.wmf"/><Relationship Id="rId24" Type="http://schemas.openxmlformats.org/officeDocument/2006/relationships/image" Target="../media/image25.wmf"/><Relationship Id="rId5" Type="http://schemas.openxmlformats.org/officeDocument/2006/relationships/image" Target="../media/image20.png"/><Relationship Id="rId15" Type="http://schemas.openxmlformats.org/officeDocument/2006/relationships/image" Target="../media/image8.wmf"/><Relationship Id="rId23" Type="http://schemas.openxmlformats.org/officeDocument/2006/relationships/image" Target="../media/image19.wmf"/><Relationship Id="rId10" Type="http://schemas.openxmlformats.org/officeDocument/2006/relationships/image" Target="../media/image13.wmf"/><Relationship Id="rId19" Type="http://schemas.openxmlformats.org/officeDocument/2006/relationships/image" Target="../media/image10.wmf"/><Relationship Id="rId4" Type="http://schemas.openxmlformats.org/officeDocument/2006/relationships/image" Target="../media/image3.wmf"/><Relationship Id="rId9" Type="http://schemas.openxmlformats.org/officeDocument/2006/relationships/image" Target="../media/image5.wmf"/><Relationship Id="rId14" Type="http://schemas.openxmlformats.org/officeDocument/2006/relationships/image" Target="../media/image15.wmf"/><Relationship Id="rId22" Type="http://schemas.openxmlformats.org/officeDocument/2006/relationships/image" Target="../media/image2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4</xdr:col>
      <xdr:colOff>333375</xdr:colOff>
      <xdr:row>3</xdr:row>
      <xdr:rowOff>257175</xdr:rowOff>
    </xdr:to>
    <xdr:pic>
      <xdr:nvPicPr>
        <xdr:cNvPr id="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638550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</xdr:row>
      <xdr:rowOff>0</xdr:rowOff>
    </xdr:from>
    <xdr:to>
      <xdr:col>3</xdr:col>
      <xdr:colOff>333375</xdr:colOff>
      <xdr:row>3</xdr:row>
      <xdr:rowOff>257175</xdr:rowOff>
    </xdr:to>
    <xdr:pic>
      <xdr:nvPicPr>
        <xdr:cNvPr id="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00400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0</xdr:colOff>
      <xdr:row>3</xdr:row>
      <xdr:rowOff>0</xdr:rowOff>
    </xdr:from>
    <xdr:to>
      <xdr:col>6</xdr:col>
      <xdr:colOff>304800</xdr:colOff>
      <xdr:row>3</xdr:row>
      <xdr:rowOff>247650</xdr:rowOff>
    </xdr:to>
    <xdr:pic>
      <xdr:nvPicPr>
        <xdr:cNvPr id="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10150" y="2105025"/>
          <a:ext cx="3048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0</xdr:colOff>
      <xdr:row>3</xdr:row>
      <xdr:rowOff>0</xdr:rowOff>
    </xdr:from>
    <xdr:to>
      <xdr:col>9</xdr:col>
      <xdr:colOff>333375</xdr:colOff>
      <xdr:row>3</xdr:row>
      <xdr:rowOff>257175</xdr:rowOff>
    </xdr:to>
    <xdr:pic>
      <xdr:nvPicPr>
        <xdr:cNvPr id="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382000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304800</xdr:colOff>
      <xdr:row>3</xdr:row>
      <xdr:rowOff>247650</xdr:rowOff>
    </xdr:to>
    <xdr:pic>
      <xdr:nvPicPr>
        <xdr:cNvPr id="10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763125" y="2105025"/>
          <a:ext cx="3048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0</xdr:colOff>
      <xdr:row>3</xdr:row>
      <xdr:rowOff>0</xdr:rowOff>
    </xdr:from>
    <xdr:to>
      <xdr:col>16</xdr:col>
      <xdr:colOff>304800</xdr:colOff>
      <xdr:row>3</xdr:row>
      <xdr:rowOff>247650</xdr:rowOff>
    </xdr:to>
    <xdr:pic>
      <xdr:nvPicPr>
        <xdr:cNvPr id="1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059150" y="2105025"/>
          <a:ext cx="3048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276225</xdr:colOff>
      <xdr:row>3</xdr:row>
      <xdr:rowOff>247650</xdr:rowOff>
    </xdr:to>
    <xdr:pic>
      <xdr:nvPicPr>
        <xdr:cNvPr id="1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878300" y="2105025"/>
          <a:ext cx="2762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0</xdr:colOff>
      <xdr:row>3</xdr:row>
      <xdr:rowOff>0</xdr:rowOff>
    </xdr:from>
    <xdr:to>
      <xdr:col>19</xdr:col>
      <xdr:colOff>342900</xdr:colOff>
      <xdr:row>3</xdr:row>
      <xdr:rowOff>257175</xdr:rowOff>
    </xdr:to>
    <xdr:pic>
      <xdr:nvPicPr>
        <xdr:cNvPr id="15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9126200" y="2105025"/>
          <a:ext cx="342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276225</xdr:colOff>
      <xdr:row>3</xdr:row>
      <xdr:rowOff>257175</xdr:rowOff>
    </xdr:to>
    <xdr:pic>
      <xdr:nvPicPr>
        <xdr:cNvPr id="1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21755100" y="2105025"/>
          <a:ext cx="276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23</xdr:col>
      <xdr:colOff>0</xdr:colOff>
      <xdr:row>3</xdr:row>
      <xdr:rowOff>0</xdr:rowOff>
    </xdr:from>
    <xdr:to>
      <xdr:col>23</xdr:col>
      <xdr:colOff>276225</xdr:colOff>
      <xdr:row>3</xdr:row>
      <xdr:rowOff>238125</xdr:rowOff>
    </xdr:to>
    <xdr:pic>
      <xdr:nvPicPr>
        <xdr:cNvPr id="17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23841075" y="2105025"/>
          <a:ext cx="2762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25</xdr:col>
      <xdr:colOff>0</xdr:colOff>
      <xdr:row>3</xdr:row>
      <xdr:rowOff>0</xdr:rowOff>
    </xdr:from>
    <xdr:to>
      <xdr:col>25</xdr:col>
      <xdr:colOff>333375</xdr:colOff>
      <xdr:row>3</xdr:row>
      <xdr:rowOff>238125</xdr:rowOff>
    </xdr:to>
    <xdr:pic>
      <xdr:nvPicPr>
        <xdr:cNvPr id="18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25974675" y="21050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27</xdr:col>
      <xdr:colOff>0</xdr:colOff>
      <xdr:row>3</xdr:row>
      <xdr:rowOff>0</xdr:rowOff>
    </xdr:from>
    <xdr:to>
      <xdr:col>27</xdr:col>
      <xdr:colOff>333375</xdr:colOff>
      <xdr:row>3</xdr:row>
      <xdr:rowOff>238125</xdr:rowOff>
    </xdr:to>
    <xdr:pic>
      <xdr:nvPicPr>
        <xdr:cNvPr id="19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8956000" y="21050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0</xdr:colOff>
      <xdr:row>3</xdr:row>
      <xdr:rowOff>0</xdr:rowOff>
    </xdr:from>
    <xdr:to>
      <xdr:col>28</xdr:col>
      <xdr:colOff>1333500</xdr:colOff>
      <xdr:row>3</xdr:row>
      <xdr:rowOff>457200</xdr:rowOff>
    </xdr:to>
    <xdr:pic>
      <xdr:nvPicPr>
        <xdr:cNvPr id="20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29803725" y="2105025"/>
          <a:ext cx="13335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</xdr:row>
      <xdr:rowOff>0</xdr:rowOff>
    </xdr:from>
    <xdr:to>
      <xdr:col>5</xdr:col>
      <xdr:colOff>762000</xdr:colOff>
      <xdr:row>3</xdr:row>
      <xdr:rowOff>485775</xdr:rowOff>
    </xdr:to>
    <xdr:pic>
      <xdr:nvPicPr>
        <xdr:cNvPr id="21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4095750" y="2105025"/>
          <a:ext cx="7620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762000</xdr:colOff>
      <xdr:row>3</xdr:row>
      <xdr:rowOff>485775</xdr:rowOff>
    </xdr:to>
    <xdr:pic>
      <xdr:nvPicPr>
        <xdr:cNvPr id="22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8896350" y="2105025"/>
          <a:ext cx="7620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18</xdr:col>
      <xdr:colOff>0</xdr:colOff>
      <xdr:row>3</xdr:row>
      <xdr:rowOff>0</xdr:rowOff>
    </xdr:from>
    <xdr:to>
      <xdr:col>18</xdr:col>
      <xdr:colOff>1266825</xdr:colOff>
      <xdr:row>3</xdr:row>
      <xdr:rowOff>457200</xdr:rowOff>
    </xdr:to>
    <xdr:pic>
      <xdr:nvPicPr>
        <xdr:cNvPr id="23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17697450" y="2105025"/>
          <a:ext cx="12668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0</xdr:colOff>
      <xdr:row>3</xdr:row>
      <xdr:rowOff>0</xdr:rowOff>
    </xdr:from>
    <xdr:to>
      <xdr:col>21</xdr:col>
      <xdr:colOff>0</xdr:colOff>
      <xdr:row>3</xdr:row>
      <xdr:rowOff>466725</xdr:rowOff>
    </xdr:to>
    <xdr:pic>
      <xdr:nvPicPr>
        <xdr:cNvPr id="2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20373975" y="2105025"/>
          <a:ext cx="138112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0</xdr:colOff>
      <xdr:row>3</xdr:row>
      <xdr:rowOff>0</xdr:rowOff>
    </xdr:from>
    <xdr:to>
      <xdr:col>23</xdr:col>
      <xdr:colOff>0</xdr:colOff>
      <xdr:row>3</xdr:row>
      <xdr:rowOff>466725</xdr:rowOff>
    </xdr:to>
    <xdr:pic>
      <xdr:nvPicPr>
        <xdr:cNvPr id="25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22583775" y="2105025"/>
          <a:ext cx="12573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24</xdr:col>
      <xdr:colOff>0</xdr:colOff>
      <xdr:row>3</xdr:row>
      <xdr:rowOff>0</xdr:rowOff>
    </xdr:from>
    <xdr:to>
      <xdr:col>24</xdr:col>
      <xdr:colOff>1257300</xdr:colOff>
      <xdr:row>3</xdr:row>
      <xdr:rowOff>457200</xdr:rowOff>
    </xdr:to>
    <xdr:pic>
      <xdr:nvPicPr>
        <xdr:cNvPr id="26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24669750" y="2105025"/>
          <a:ext cx="12573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26</xdr:col>
      <xdr:colOff>0</xdr:colOff>
      <xdr:row>3</xdr:row>
      <xdr:rowOff>0</xdr:rowOff>
    </xdr:from>
    <xdr:to>
      <xdr:col>26</xdr:col>
      <xdr:colOff>1314450</xdr:colOff>
      <xdr:row>3</xdr:row>
      <xdr:rowOff>457200</xdr:rowOff>
    </xdr:to>
    <xdr:pic>
      <xdr:nvPicPr>
        <xdr:cNvPr id="27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27365325" y="2105025"/>
          <a:ext cx="13144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33</xdr:col>
      <xdr:colOff>0</xdr:colOff>
      <xdr:row>3</xdr:row>
      <xdr:rowOff>0</xdr:rowOff>
    </xdr:from>
    <xdr:to>
      <xdr:col>33</xdr:col>
      <xdr:colOff>4514850</xdr:colOff>
      <xdr:row>3</xdr:row>
      <xdr:rowOff>476250</xdr:rowOff>
    </xdr:to>
    <xdr:pic>
      <xdr:nvPicPr>
        <xdr:cNvPr id="28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37871400" y="2105025"/>
          <a:ext cx="45148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31</xdr:col>
      <xdr:colOff>0</xdr:colOff>
      <xdr:row>3</xdr:row>
      <xdr:rowOff>0</xdr:rowOff>
    </xdr:from>
    <xdr:to>
      <xdr:col>31</xdr:col>
      <xdr:colOff>428625</xdr:colOff>
      <xdr:row>3</xdr:row>
      <xdr:rowOff>276225</xdr:rowOff>
    </xdr:to>
    <xdr:pic>
      <xdr:nvPicPr>
        <xdr:cNvPr id="29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36433125" y="2105025"/>
          <a:ext cx="4286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428625</xdr:colOff>
      <xdr:row>3</xdr:row>
      <xdr:rowOff>276225</xdr:rowOff>
    </xdr:to>
    <xdr:pic>
      <xdr:nvPicPr>
        <xdr:cNvPr id="30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37204650" y="2105025"/>
          <a:ext cx="4286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</xdr:row>
      <xdr:rowOff>0</xdr:rowOff>
    </xdr:from>
    <xdr:to>
      <xdr:col>7</xdr:col>
      <xdr:colOff>1285875</xdr:colOff>
      <xdr:row>3</xdr:row>
      <xdr:rowOff>542925</xdr:rowOff>
    </xdr:to>
    <xdr:pic>
      <xdr:nvPicPr>
        <xdr:cNvPr id="31" name="Рисунок 30" descr="http://base.garant.ru/files/base/71150640/683916118.png"/>
        <xdr:cNvPicPr/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5800725" y="2105025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12</xdr:col>
      <xdr:colOff>28575</xdr:colOff>
      <xdr:row>2</xdr:row>
      <xdr:rowOff>1647825</xdr:rowOff>
    </xdr:from>
    <xdr:to>
      <xdr:col>12</xdr:col>
      <xdr:colOff>1314450</xdr:colOff>
      <xdr:row>3</xdr:row>
      <xdr:rowOff>533400</xdr:rowOff>
    </xdr:to>
    <xdr:pic>
      <xdr:nvPicPr>
        <xdr:cNvPr id="32" name="Рисунок 31" descr="http://base.garant.ru/files/base/71150640/683916118.png"/>
        <xdr:cNvPicPr/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10696575" y="2095500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</xdr:row>
      <xdr:rowOff>0</xdr:rowOff>
    </xdr:from>
    <xdr:to>
      <xdr:col>14</xdr:col>
      <xdr:colOff>323850</xdr:colOff>
      <xdr:row>3</xdr:row>
      <xdr:rowOff>295275</xdr:rowOff>
    </xdr:to>
    <xdr:pic>
      <xdr:nvPicPr>
        <xdr:cNvPr id="33" name="Рисунок 32" descr="http://base.garant.ru/files/base/71150640/2194327812.png"/>
        <xdr:cNvPicPr/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13220700" y="2105025"/>
          <a:ext cx="3238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15</xdr:col>
      <xdr:colOff>0</xdr:colOff>
      <xdr:row>3</xdr:row>
      <xdr:rowOff>0</xdr:rowOff>
    </xdr:from>
    <xdr:to>
      <xdr:col>16</xdr:col>
      <xdr:colOff>38100</xdr:colOff>
      <xdr:row>3</xdr:row>
      <xdr:rowOff>333375</xdr:rowOff>
    </xdr:to>
    <xdr:pic>
      <xdr:nvPicPr>
        <xdr:cNvPr id="35" name="Рисунок 34" descr="http://base.garant.ru/files/base/71150640/2365542732.png"/>
        <xdr:cNvPicPr/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14230350" y="2105025"/>
          <a:ext cx="18669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29</xdr:col>
      <xdr:colOff>0</xdr:colOff>
      <xdr:row>3</xdr:row>
      <xdr:rowOff>0</xdr:rowOff>
    </xdr:from>
    <xdr:to>
      <xdr:col>29</xdr:col>
      <xdr:colOff>3657600</xdr:colOff>
      <xdr:row>3</xdr:row>
      <xdr:rowOff>333375</xdr:rowOff>
    </xdr:to>
    <xdr:pic>
      <xdr:nvPicPr>
        <xdr:cNvPr id="36" name="Рисунок 35" descr="http://base.garant.ru/files/base/71150640/12861190.png"/>
        <xdr:cNvPicPr/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31242000" y="2105025"/>
          <a:ext cx="36576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30</xdr:col>
      <xdr:colOff>0</xdr:colOff>
      <xdr:row>3</xdr:row>
      <xdr:rowOff>0</xdr:rowOff>
    </xdr:from>
    <xdr:to>
      <xdr:col>30</xdr:col>
      <xdr:colOff>1314450</xdr:colOff>
      <xdr:row>3</xdr:row>
      <xdr:rowOff>295275</xdr:rowOff>
    </xdr:to>
    <xdr:pic>
      <xdr:nvPicPr>
        <xdr:cNvPr id="37" name="Рисунок 36" descr="http://base.garant.ru/files/base/71150640/2370735380.png"/>
        <xdr:cNvPicPr/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35042475" y="2105025"/>
          <a:ext cx="13144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</xdr:row>
      <xdr:rowOff>0</xdr:rowOff>
    </xdr:from>
    <xdr:to>
      <xdr:col>3</xdr:col>
      <xdr:colOff>333375</xdr:colOff>
      <xdr:row>3</xdr:row>
      <xdr:rowOff>257175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95575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38100</xdr:colOff>
      <xdr:row>3</xdr:row>
      <xdr:rowOff>0</xdr:rowOff>
    </xdr:from>
    <xdr:to>
      <xdr:col>2</xdr:col>
      <xdr:colOff>371475</xdr:colOff>
      <xdr:row>3</xdr:row>
      <xdr:rowOff>257175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295525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0</xdr:colOff>
      <xdr:row>3</xdr:row>
      <xdr:rowOff>0</xdr:rowOff>
    </xdr:from>
    <xdr:to>
      <xdr:col>4</xdr:col>
      <xdr:colOff>762000</xdr:colOff>
      <xdr:row>3</xdr:row>
      <xdr:rowOff>485775</xdr:rowOff>
    </xdr:to>
    <xdr:pic>
      <xdr:nvPicPr>
        <xdr:cNvPr id="4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152775" y="2105025"/>
          <a:ext cx="7620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</xdr:row>
      <xdr:rowOff>0</xdr:rowOff>
    </xdr:from>
    <xdr:to>
      <xdr:col>5</xdr:col>
      <xdr:colOff>266700</xdr:colOff>
      <xdr:row>3</xdr:row>
      <xdr:rowOff>247650</xdr:rowOff>
    </xdr:to>
    <xdr:pic>
      <xdr:nvPicPr>
        <xdr:cNvPr id="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67175" y="2105025"/>
          <a:ext cx="2667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1285875</xdr:colOff>
      <xdr:row>4</xdr:row>
      <xdr:rowOff>47625</xdr:rowOff>
    </xdr:to>
    <xdr:pic>
      <xdr:nvPicPr>
        <xdr:cNvPr id="6" name="Рисунок 5" descr="http://base.garant.ru/files/base/71150640/683916118.png"/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695825" y="2105025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333375</xdr:colOff>
      <xdr:row>3</xdr:row>
      <xdr:rowOff>257175</xdr:rowOff>
    </xdr:to>
    <xdr:pic>
      <xdr:nvPicPr>
        <xdr:cNvPr id="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772900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762000</xdr:colOff>
      <xdr:row>3</xdr:row>
      <xdr:rowOff>485775</xdr:rowOff>
    </xdr:to>
    <xdr:pic>
      <xdr:nvPicPr>
        <xdr:cNvPr id="8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287250" y="2105025"/>
          <a:ext cx="7620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0</xdr:colOff>
      <xdr:row>3</xdr:row>
      <xdr:rowOff>0</xdr:rowOff>
    </xdr:from>
    <xdr:to>
      <xdr:col>15</xdr:col>
      <xdr:colOff>304800</xdr:colOff>
      <xdr:row>3</xdr:row>
      <xdr:rowOff>247650</xdr:rowOff>
    </xdr:to>
    <xdr:pic>
      <xdr:nvPicPr>
        <xdr:cNvPr id="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201650" y="2105025"/>
          <a:ext cx="3048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1285875</xdr:colOff>
      <xdr:row>4</xdr:row>
      <xdr:rowOff>47625</xdr:rowOff>
    </xdr:to>
    <xdr:pic>
      <xdr:nvPicPr>
        <xdr:cNvPr id="10" name="Рисунок 9" descr="http://base.garant.ru/files/base/71150640/683916118.png"/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3792200" y="2105025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18</xdr:col>
      <xdr:colOff>0</xdr:colOff>
      <xdr:row>3</xdr:row>
      <xdr:rowOff>0</xdr:rowOff>
    </xdr:from>
    <xdr:to>
      <xdr:col>18</xdr:col>
      <xdr:colOff>323850</xdr:colOff>
      <xdr:row>3</xdr:row>
      <xdr:rowOff>295275</xdr:rowOff>
    </xdr:to>
    <xdr:pic>
      <xdr:nvPicPr>
        <xdr:cNvPr id="11" name="Рисунок 10" descr="http://base.garant.ru/files/base/71150640/2194327812.png"/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16125825" y="2105025"/>
          <a:ext cx="3238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20</xdr:col>
      <xdr:colOff>76200</xdr:colOff>
      <xdr:row>3</xdr:row>
      <xdr:rowOff>333375</xdr:rowOff>
    </xdr:to>
    <xdr:pic>
      <xdr:nvPicPr>
        <xdr:cNvPr id="12" name="Рисунок 11" descr="http://base.garant.ru/files/base/71150640/2365542732.png"/>
        <xdr:cNvPicPr/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6916400" y="2105025"/>
          <a:ext cx="18669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304800</xdr:colOff>
      <xdr:row>3</xdr:row>
      <xdr:rowOff>247650</xdr:rowOff>
    </xdr:to>
    <xdr:pic>
      <xdr:nvPicPr>
        <xdr:cNvPr id="1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18707100" y="2105025"/>
          <a:ext cx="3048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276225</xdr:colOff>
      <xdr:row>3</xdr:row>
      <xdr:rowOff>247650</xdr:rowOff>
    </xdr:to>
    <xdr:pic>
      <xdr:nvPicPr>
        <xdr:cNvPr id="1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19526250" y="2105025"/>
          <a:ext cx="2762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0</xdr:colOff>
      <xdr:row>3</xdr:row>
      <xdr:rowOff>0</xdr:rowOff>
    </xdr:from>
    <xdr:to>
      <xdr:col>22</xdr:col>
      <xdr:colOff>1266825</xdr:colOff>
      <xdr:row>3</xdr:row>
      <xdr:rowOff>457200</xdr:rowOff>
    </xdr:to>
    <xdr:pic>
      <xdr:nvPicPr>
        <xdr:cNvPr id="15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20431125" y="2105025"/>
          <a:ext cx="12668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23</xdr:col>
      <xdr:colOff>0</xdr:colOff>
      <xdr:row>3</xdr:row>
      <xdr:rowOff>0</xdr:rowOff>
    </xdr:from>
    <xdr:to>
      <xdr:col>23</xdr:col>
      <xdr:colOff>342900</xdr:colOff>
      <xdr:row>3</xdr:row>
      <xdr:rowOff>257175</xdr:rowOff>
    </xdr:to>
    <xdr:pic>
      <xdr:nvPicPr>
        <xdr:cNvPr id="16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21783675" y="2105025"/>
          <a:ext cx="342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24</xdr:col>
      <xdr:colOff>0</xdr:colOff>
      <xdr:row>3</xdr:row>
      <xdr:rowOff>0</xdr:rowOff>
    </xdr:from>
    <xdr:to>
      <xdr:col>24</xdr:col>
      <xdr:colOff>1381125</xdr:colOff>
      <xdr:row>3</xdr:row>
      <xdr:rowOff>466725</xdr:rowOff>
    </xdr:to>
    <xdr:pic>
      <xdr:nvPicPr>
        <xdr:cNvPr id="17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23031450" y="2105025"/>
          <a:ext cx="138112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25</xdr:col>
      <xdr:colOff>0</xdr:colOff>
      <xdr:row>3</xdr:row>
      <xdr:rowOff>0</xdr:rowOff>
    </xdr:from>
    <xdr:to>
      <xdr:col>25</xdr:col>
      <xdr:colOff>276225</xdr:colOff>
      <xdr:row>3</xdr:row>
      <xdr:rowOff>238125</xdr:rowOff>
    </xdr:to>
    <xdr:pic>
      <xdr:nvPicPr>
        <xdr:cNvPr id="18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24441150" y="2105025"/>
          <a:ext cx="2762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26</xdr:col>
      <xdr:colOff>0</xdr:colOff>
      <xdr:row>3</xdr:row>
      <xdr:rowOff>0</xdr:rowOff>
    </xdr:from>
    <xdr:to>
      <xdr:col>26</xdr:col>
      <xdr:colOff>1257300</xdr:colOff>
      <xdr:row>3</xdr:row>
      <xdr:rowOff>457200</xdr:rowOff>
    </xdr:to>
    <xdr:pic>
      <xdr:nvPicPr>
        <xdr:cNvPr id="19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25174575" y="2105025"/>
          <a:ext cx="12573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27</xdr:col>
      <xdr:colOff>0</xdr:colOff>
      <xdr:row>3</xdr:row>
      <xdr:rowOff>0</xdr:rowOff>
    </xdr:from>
    <xdr:to>
      <xdr:col>27</xdr:col>
      <xdr:colOff>333375</xdr:colOff>
      <xdr:row>3</xdr:row>
      <xdr:rowOff>238125</xdr:rowOff>
    </xdr:to>
    <xdr:pic>
      <xdr:nvPicPr>
        <xdr:cNvPr id="20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26555700" y="21050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0</xdr:colOff>
      <xdr:row>3</xdr:row>
      <xdr:rowOff>0</xdr:rowOff>
    </xdr:from>
    <xdr:to>
      <xdr:col>28</xdr:col>
      <xdr:colOff>1314450</xdr:colOff>
      <xdr:row>3</xdr:row>
      <xdr:rowOff>457200</xdr:rowOff>
    </xdr:to>
    <xdr:pic>
      <xdr:nvPicPr>
        <xdr:cNvPr id="21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27946350" y="2105025"/>
          <a:ext cx="13144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29</xdr:col>
      <xdr:colOff>0</xdr:colOff>
      <xdr:row>3</xdr:row>
      <xdr:rowOff>0</xdr:rowOff>
    </xdr:from>
    <xdr:to>
      <xdr:col>29</xdr:col>
      <xdr:colOff>333375</xdr:colOff>
      <xdr:row>3</xdr:row>
      <xdr:rowOff>238125</xdr:rowOff>
    </xdr:to>
    <xdr:pic>
      <xdr:nvPicPr>
        <xdr:cNvPr id="22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29517975" y="21050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31</xdr:col>
      <xdr:colOff>0</xdr:colOff>
      <xdr:row>3</xdr:row>
      <xdr:rowOff>0</xdr:rowOff>
    </xdr:from>
    <xdr:to>
      <xdr:col>31</xdr:col>
      <xdr:colOff>3657600</xdr:colOff>
      <xdr:row>3</xdr:row>
      <xdr:rowOff>333375</xdr:rowOff>
    </xdr:to>
    <xdr:pic>
      <xdr:nvPicPr>
        <xdr:cNvPr id="23" name="Рисунок 22" descr="http://base.garant.ru/files/base/71150640/12861190.png"/>
        <xdr:cNvPicPr/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31870650" y="2105025"/>
          <a:ext cx="36576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30</xdr:col>
      <xdr:colOff>0</xdr:colOff>
      <xdr:row>3</xdr:row>
      <xdr:rowOff>0</xdr:rowOff>
    </xdr:from>
    <xdr:to>
      <xdr:col>31</xdr:col>
      <xdr:colOff>9525</xdr:colOff>
      <xdr:row>3</xdr:row>
      <xdr:rowOff>457200</xdr:rowOff>
    </xdr:to>
    <xdr:pic>
      <xdr:nvPicPr>
        <xdr:cNvPr id="24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30546675" y="2105025"/>
          <a:ext cx="13335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32</xdr:col>
      <xdr:colOff>0</xdr:colOff>
      <xdr:row>3</xdr:row>
      <xdr:rowOff>0</xdr:rowOff>
    </xdr:from>
    <xdr:to>
      <xdr:col>32</xdr:col>
      <xdr:colOff>1314450</xdr:colOff>
      <xdr:row>3</xdr:row>
      <xdr:rowOff>295275</xdr:rowOff>
    </xdr:to>
    <xdr:pic>
      <xdr:nvPicPr>
        <xdr:cNvPr id="25" name="Рисунок 24" descr="http://base.garant.ru/files/base/71150640/2370735380.png"/>
        <xdr:cNvPicPr/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35756850" y="2105025"/>
          <a:ext cx="13144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33</xdr:col>
      <xdr:colOff>0</xdr:colOff>
      <xdr:row>3</xdr:row>
      <xdr:rowOff>0</xdr:rowOff>
    </xdr:from>
    <xdr:to>
      <xdr:col>33</xdr:col>
      <xdr:colOff>428625</xdr:colOff>
      <xdr:row>3</xdr:row>
      <xdr:rowOff>276225</xdr:rowOff>
    </xdr:to>
    <xdr:pic>
      <xdr:nvPicPr>
        <xdr:cNvPr id="26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37128450" y="2105025"/>
          <a:ext cx="4286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34</xdr:col>
      <xdr:colOff>0</xdr:colOff>
      <xdr:row>3</xdr:row>
      <xdr:rowOff>0</xdr:rowOff>
    </xdr:from>
    <xdr:to>
      <xdr:col>34</xdr:col>
      <xdr:colOff>428625</xdr:colOff>
      <xdr:row>3</xdr:row>
      <xdr:rowOff>276225</xdr:rowOff>
    </xdr:to>
    <xdr:pic>
      <xdr:nvPicPr>
        <xdr:cNvPr id="27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38261925" y="2105025"/>
          <a:ext cx="4286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35</xdr:col>
      <xdr:colOff>0</xdr:colOff>
      <xdr:row>3</xdr:row>
      <xdr:rowOff>0</xdr:rowOff>
    </xdr:from>
    <xdr:to>
      <xdr:col>35</xdr:col>
      <xdr:colOff>4514850</xdr:colOff>
      <xdr:row>3</xdr:row>
      <xdr:rowOff>476250</xdr:rowOff>
    </xdr:to>
    <xdr:pic>
      <xdr:nvPicPr>
        <xdr:cNvPr id="28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38871525" y="2105025"/>
          <a:ext cx="45148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0</xdr:colOff>
      <xdr:row>3</xdr:row>
      <xdr:rowOff>0</xdr:rowOff>
    </xdr:from>
    <xdr:to>
      <xdr:col>8</xdr:col>
      <xdr:colOff>333375</xdr:colOff>
      <xdr:row>3</xdr:row>
      <xdr:rowOff>257175</xdr:rowOff>
    </xdr:to>
    <xdr:pic>
      <xdr:nvPicPr>
        <xdr:cNvPr id="2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77100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0</xdr:colOff>
      <xdr:row>3</xdr:row>
      <xdr:rowOff>0</xdr:rowOff>
    </xdr:from>
    <xdr:to>
      <xdr:col>9</xdr:col>
      <xdr:colOff>762000</xdr:colOff>
      <xdr:row>3</xdr:row>
      <xdr:rowOff>485775</xdr:rowOff>
    </xdr:to>
    <xdr:pic>
      <xdr:nvPicPr>
        <xdr:cNvPr id="30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886700" y="2105025"/>
          <a:ext cx="7620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266700</xdr:colOff>
      <xdr:row>3</xdr:row>
      <xdr:rowOff>247650</xdr:rowOff>
    </xdr:to>
    <xdr:pic>
      <xdr:nvPicPr>
        <xdr:cNvPr id="3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791575" y="2105025"/>
          <a:ext cx="2667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12</xdr:col>
      <xdr:colOff>57150</xdr:colOff>
      <xdr:row>4</xdr:row>
      <xdr:rowOff>47625</xdr:rowOff>
    </xdr:to>
    <xdr:pic>
      <xdr:nvPicPr>
        <xdr:cNvPr id="32" name="Рисунок 31" descr="http://base.garant.ru/files/base/71150640/683916118.png"/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486900" y="2105025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12</xdr:col>
      <xdr:colOff>57150</xdr:colOff>
      <xdr:row>4</xdr:row>
      <xdr:rowOff>47625</xdr:rowOff>
    </xdr:to>
    <xdr:pic>
      <xdr:nvPicPr>
        <xdr:cNvPr id="33" name="Рисунок 32" descr="http://base.garant.ru/files/base/71150640/683916118.png"/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486900" y="2105025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12</xdr:col>
      <xdr:colOff>57150</xdr:colOff>
      <xdr:row>4</xdr:row>
      <xdr:rowOff>47625</xdr:rowOff>
    </xdr:to>
    <xdr:pic>
      <xdr:nvPicPr>
        <xdr:cNvPr id="34" name="Рисунок 33" descr="http://base.garant.ru/files/base/71150640/683916118.png"/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486900" y="2105025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0</xdr:colOff>
      <xdr:row>3</xdr:row>
      <xdr:rowOff>0</xdr:rowOff>
    </xdr:from>
    <xdr:to>
      <xdr:col>12</xdr:col>
      <xdr:colOff>57150</xdr:colOff>
      <xdr:row>4</xdr:row>
      <xdr:rowOff>47625</xdr:rowOff>
    </xdr:to>
    <xdr:pic>
      <xdr:nvPicPr>
        <xdr:cNvPr id="35" name="Рисунок 34" descr="http://base.garant.ru/files/base/71150640/683916118.png"/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486900" y="2105025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333375</xdr:colOff>
      <xdr:row>3</xdr:row>
      <xdr:rowOff>257175</xdr:rowOff>
    </xdr:to>
    <xdr:pic>
      <xdr:nvPicPr>
        <xdr:cNvPr id="5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43150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</xdr:row>
      <xdr:rowOff>0</xdr:rowOff>
    </xdr:from>
    <xdr:to>
      <xdr:col>3</xdr:col>
      <xdr:colOff>333375</xdr:colOff>
      <xdr:row>3</xdr:row>
      <xdr:rowOff>257175</xdr:rowOff>
    </xdr:to>
    <xdr:pic>
      <xdr:nvPicPr>
        <xdr:cNvPr id="5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76550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0</xdr:colOff>
      <xdr:row>3</xdr:row>
      <xdr:rowOff>0</xdr:rowOff>
    </xdr:from>
    <xdr:to>
      <xdr:col>4</xdr:col>
      <xdr:colOff>762000</xdr:colOff>
      <xdr:row>3</xdr:row>
      <xdr:rowOff>485775</xdr:rowOff>
    </xdr:to>
    <xdr:pic>
      <xdr:nvPicPr>
        <xdr:cNvPr id="55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381375" y="2105025"/>
          <a:ext cx="7620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</xdr:row>
      <xdr:rowOff>0</xdr:rowOff>
    </xdr:from>
    <xdr:to>
      <xdr:col>5</xdr:col>
      <xdr:colOff>304800</xdr:colOff>
      <xdr:row>3</xdr:row>
      <xdr:rowOff>247650</xdr:rowOff>
    </xdr:to>
    <xdr:pic>
      <xdr:nvPicPr>
        <xdr:cNvPr id="5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295775" y="2105025"/>
          <a:ext cx="3048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1285875</xdr:colOff>
      <xdr:row>4</xdr:row>
      <xdr:rowOff>0</xdr:rowOff>
    </xdr:to>
    <xdr:pic>
      <xdr:nvPicPr>
        <xdr:cNvPr id="57" name="Рисунок 56" descr="http://base.garant.ru/files/base/71150640/683916118.png"/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924425" y="2105025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</xdr:row>
      <xdr:rowOff>0</xdr:rowOff>
    </xdr:from>
    <xdr:to>
      <xdr:col>8</xdr:col>
      <xdr:colOff>323850</xdr:colOff>
      <xdr:row>3</xdr:row>
      <xdr:rowOff>295275</xdr:rowOff>
    </xdr:to>
    <xdr:pic>
      <xdr:nvPicPr>
        <xdr:cNvPr id="58" name="Рисунок 57" descr="http://base.garant.ru/files/base/71150640/2194327812.png"/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515225" y="2105025"/>
          <a:ext cx="3238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1866900</xdr:colOff>
      <xdr:row>3</xdr:row>
      <xdr:rowOff>333375</xdr:rowOff>
    </xdr:to>
    <xdr:pic>
      <xdr:nvPicPr>
        <xdr:cNvPr id="59" name="Рисунок 58" descr="http://base.garant.ru/files/base/71150640/2365542732.png"/>
        <xdr:cNvPicPr/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8305800" y="2105025"/>
          <a:ext cx="18669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304800</xdr:colOff>
      <xdr:row>3</xdr:row>
      <xdr:rowOff>247650</xdr:rowOff>
    </xdr:to>
    <xdr:pic>
      <xdr:nvPicPr>
        <xdr:cNvPr id="60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10287000" y="2105025"/>
          <a:ext cx="3048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276225</xdr:colOff>
      <xdr:row>3</xdr:row>
      <xdr:rowOff>247650</xdr:rowOff>
    </xdr:to>
    <xdr:pic>
      <xdr:nvPicPr>
        <xdr:cNvPr id="61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11106150" y="2105025"/>
          <a:ext cx="2762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1266825</xdr:colOff>
      <xdr:row>3</xdr:row>
      <xdr:rowOff>457200</xdr:rowOff>
    </xdr:to>
    <xdr:pic>
      <xdr:nvPicPr>
        <xdr:cNvPr id="6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11925300" y="2105025"/>
          <a:ext cx="12668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342900</xdr:colOff>
      <xdr:row>3</xdr:row>
      <xdr:rowOff>257175</xdr:rowOff>
    </xdr:to>
    <xdr:pic>
      <xdr:nvPicPr>
        <xdr:cNvPr id="63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13211175" y="2105025"/>
          <a:ext cx="342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1381125</xdr:colOff>
      <xdr:row>3</xdr:row>
      <xdr:rowOff>466725</xdr:rowOff>
    </xdr:to>
    <xdr:pic>
      <xdr:nvPicPr>
        <xdr:cNvPr id="64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14458950" y="2105025"/>
          <a:ext cx="138112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0</xdr:colOff>
      <xdr:row>3</xdr:row>
      <xdr:rowOff>0</xdr:rowOff>
    </xdr:from>
    <xdr:to>
      <xdr:col>15</xdr:col>
      <xdr:colOff>276225</xdr:colOff>
      <xdr:row>3</xdr:row>
      <xdr:rowOff>257175</xdr:rowOff>
    </xdr:to>
    <xdr:pic>
      <xdr:nvPicPr>
        <xdr:cNvPr id="65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15925800" y="2105025"/>
          <a:ext cx="276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0</xdr:colOff>
      <xdr:row>3</xdr:row>
      <xdr:rowOff>0</xdr:rowOff>
    </xdr:from>
    <xdr:to>
      <xdr:col>16</xdr:col>
      <xdr:colOff>1257300</xdr:colOff>
      <xdr:row>3</xdr:row>
      <xdr:rowOff>466725</xdr:rowOff>
    </xdr:to>
    <xdr:pic>
      <xdr:nvPicPr>
        <xdr:cNvPr id="66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16925925" y="2105025"/>
          <a:ext cx="12573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276225</xdr:colOff>
      <xdr:row>3</xdr:row>
      <xdr:rowOff>238125</xdr:rowOff>
    </xdr:to>
    <xdr:pic>
      <xdr:nvPicPr>
        <xdr:cNvPr id="67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18221325" y="2105025"/>
          <a:ext cx="2762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18</xdr:col>
      <xdr:colOff>0</xdr:colOff>
      <xdr:row>3</xdr:row>
      <xdr:rowOff>0</xdr:rowOff>
    </xdr:from>
    <xdr:to>
      <xdr:col>18</xdr:col>
      <xdr:colOff>1257300</xdr:colOff>
      <xdr:row>3</xdr:row>
      <xdr:rowOff>457200</xdr:rowOff>
    </xdr:to>
    <xdr:pic>
      <xdr:nvPicPr>
        <xdr:cNvPr id="68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18954750" y="2105025"/>
          <a:ext cx="12573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0</xdr:colOff>
      <xdr:row>3</xdr:row>
      <xdr:rowOff>0</xdr:rowOff>
    </xdr:from>
    <xdr:to>
      <xdr:col>19</xdr:col>
      <xdr:colOff>333375</xdr:colOff>
      <xdr:row>3</xdr:row>
      <xdr:rowOff>238125</xdr:rowOff>
    </xdr:to>
    <xdr:pic>
      <xdr:nvPicPr>
        <xdr:cNvPr id="69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20231100" y="21050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1314450</xdr:colOff>
      <xdr:row>3</xdr:row>
      <xdr:rowOff>457200</xdr:rowOff>
    </xdr:to>
    <xdr:pic>
      <xdr:nvPicPr>
        <xdr:cNvPr id="70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21621750" y="2105025"/>
          <a:ext cx="13144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333375</xdr:colOff>
      <xdr:row>3</xdr:row>
      <xdr:rowOff>238125</xdr:rowOff>
    </xdr:to>
    <xdr:pic>
      <xdr:nvPicPr>
        <xdr:cNvPr id="71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23193375" y="21050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0</xdr:colOff>
      <xdr:row>3</xdr:row>
      <xdr:rowOff>0</xdr:rowOff>
    </xdr:from>
    <xdr:to>
      <xdr:col>22</xdr:col>
      <xdr:colOff>1333500</xdr:colOff>
      <xdr:row>3</xdr:row>
      <xdr:rowOff>457200</xdr:rowOff>
    </xdr:to>
    <xdr:pic>
      <xdr:nvPicPr>
        <xdr:cNvPr id="72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24041100" y="2105025"/>
          <a:ext cx="13335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23</xdr:col>
      <xdr:colOff>3657600</xdr:colOff>
      <xdr:row>3</xdr:row>
      <xdr:rowOff>333375</xdr:rowOff>
    </xdr:to>
    <xdr:pic>
      <xdr:nvPicPr>
        <xdr:cNvPr id="73" name="Рисунок 72" descr="http://base.garant.ru/files/base/71150640/12861190.png"/>
        <xdr:cNvPicPr/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25412700" y="2105025"/>
          <a:ext cx="36576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0</xdr:colOff>
      <xdr:row>3</xdr:row>
      <xdr:rowOff>0</xdr:rowOff>
    </xdr:from>
    <xdr:to>
      <xdr:col>24</xdr:col>
      <xdr:colOff>1314450</xdr:colOff>
      <xdr:row>3</xdr:row>
      <xdr:rowOff>295275</xdr:rowOff>
    </xdr:to>
    <xdr:pic>
      <xdr:nvPicPr>
        <xdr:cNvPr id="74" name="Рисунок 73" descr="http://base.garant.ru/files/base/71150640/2370735380.png"/>
        <xdr:cNvPicPr/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29136975" y="2105025"/>
          <a:ext cx="13144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25</xdr:col>
      <xdr:colOff>0</xdr:colOff>
      <xdr:row>3</xdr:row>
      <xdr:rowOff>0</xdr:rowOff>
    </xdr:from>
    <xdr:to>
      <xdr:col>25</xdr:col>
      <xdr:colOff>428625</xdr:colOff>
      <xdr:row>3</xdr:row>
      <xdr:rowOff>276225</xdr:rowOff>
    </xdr:to>
    <xdr:pic>
      <xdr:nvPicPr>
        <xdr:cNvPr id="75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30584775" y="2105025"/>
          <a:ext cx="4286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27</xdr:col>
      <xdr:colOff>0</xdr:colOff>
      <xdr:row>3</xdr:row>
      <xdr:rowOff>0</xdr:rowOff>
    </xdr:from>
    <xdr:to>
      <xdr:col>27</xdr:col>
      <xdr:colOff>400050</xdr:colOff>
      <xdr:row>3</xdr:row>
      <xdr:rowOff>276225</xdr:rowOff>
    </xdr:to>
    <xdr:pic>
      <xdr:nvPicPr>
        <xdr:cNvPr id="76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32089725" y="2105025"/>
          <a:ext cx="4000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0</xdr:colOff>
      <xdr:row>3</xdr:row>
      <xdr:rowOff>0</xdr:rowOff>
    </xdr:from>
    <xdr:to>
      <xdr:col>28</xdr:col>
      <xdr:colOff>4514850</xdr:colOff>
      <xdr:row>3</xdr:row>
      <xdr:rowOff>476250</xdr:rowOff>
    </xdr:to>
    <xdr:pic>
      <xdr:nvPicPr>
        <xdr:cNvPr id="77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33366075" y="2105025"/>
          <a:ext cx="45148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3</xdr:row>
      <xdr:rowOff>0</xdr:rowOff>
    </xdr:from>
    <xdr:to>
      <xdr:col>2</xdr:col>
      <xdr:colOff>333375</xdr:colOff>
      <xdr:row>3</xdr:row>
      <xdr:rowOff>257175</xdr:rowOff>
    </xdr:to>
    <xdr:pic>
      <xdr:nvPicPr>
        <xdr:cNvPr id="7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43150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3</xdr:row>
      <xdr:rowOff>0</xdr:rowOff>
    </xdr:from>
    <xdr:to>
      <xdr:col>3</xdr:col>
      <xdr:colOff>333375</xdr:colOff>
      <xdr:row>3</xdr:row>
      <xdr:rowOff>257175</xdr:rowOff>
    </xdr:to>
    <xdr:pic>
      <xdr:nvPicPr>
        <xdr:cNvPr id="7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876550" y="2105025"/>
          <a:ext cx="3333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0</xdr:colOff>
      <xdr:row>3</xdr:row>
      <xdr:rowOff>0</xdr:rowOff>
    </xdr:from>
    <xdr:to>
      <xdr:col>4</xdr:col>
      <xdr:colOff>762000</xdr:colOff>
      <xdr:row>3</xdr:row>
      <xdr:rowOff>485775</xdr:rowOff>
    </xdr:to>
    <xdr:pic>
      <xdr:nvPicPr>
        <xdr:cNvPr id="80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381375" y="2105025"/>
          <a:ext cx="762000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0</xdr:colOff>
      <xdr:row>3</xdr:row>
      <xdr:rowOff>0</xdr:rowOff>
    </xdr:from>
    <xdr:to>
      <xdr:col>5</xdr:col>
      <xdr:colOff>304800</xdr:colOff>
      <xdr:row>3</xdr:row>
      <xdr:rowOff>247650</xdr:rowOff>
    </xdr:to>
    <xdr:pic>
      <xdr:nvPicPr>
        <xdr:cNvPr id="81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295775" y="2105025"/>
          <a:ext cx="3048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</xdr:row>
      <xdr:rowOff>0</xdr:rowOff>
    </xdr:from>
    <xdr:to>
      <xdr:col>8</xdr:col>
      <xdr:colOff>323850</xdr:colOff>
      <xdr:row>3</xdr:row>
      <xdr:rowOff>295275</xdr:rowOff>
    </xdr:to>
    <xdr:pic>
      <xdr:nvPicPr>
        <xdr:cNvPr id="82" name="Рисунок 81" descr="http://base.garant.ru/files/base/71150640/2194327812.png"/>
        <xdr:cNvPicPr/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7515225" y="2105025"/>
          <a:ext cx="3238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304800</xdr:colOff>
      <xdr:row>3</xdr:row>
      <xdr:rowOff>247650</xdr:rowOff>
    </xdr:to>
    <xdr:pic>
      <xdr:nvPicPr>
        <xdr:cNvPr id="83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10287000" y="2105025"/>
          <a:ext cx="3048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0</xdr:colOff>
      <xdr:row>3</xdr:row>
      <xdr:rowOff>0</xdr:rowOff>
    </xdr:from>
    <xdr:to>
      <xdr:col>11</xdr:col>
      <xdr:colOff>276225</xdr:colOff>
      <xdr:row>3</xdr:row>
      <xdr:rowOff>247650</xdr:rowOff>
    </xdr:to>
    <xdr:pic>
      <xdr:nvPicPr>
        <xdr:cNvPr id="84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11106150" y="2105025"/>
          <a:ext cx="2762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0</xdr:colOff>
      <xdr:row>3</xdr:row>
      <xdr:rowOff>0</xdr:rowOff>
    </xdr:from>
    <xdr:to>
      <xdr:col>12</xdr:col>
      <xdr:colOff>1266825</xdr:colOff>
      <xdr:row>3</xdr:row>
      <xdr:rowOff>457200</xdr:rowOff>
    </xdr:to>
    <xdr:pic>
      <xdr:nvPicPr>
        <xdr:cNvPr id="85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11925300" y="2105025"/>
          <a:ext cx="1266825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13</xdr:col>
      <xdr:colOff>0</xdr:colOff>
      <xdr:row>3</xdr:row>
      <xdr:rowOff>0</xdr:rowOff>
    </xdr:from>
    <xdr:to>
      <xdr:col>13</xdr:col>
      <xdr:colOff>342900</xdr:colOff>
      <xdr:row>3</xdr:row>
      <xdr:rowOff>257175</xdr:rowOff>
    </xdr:to>
    <xdr:pic>
      <xdr:nvPicPr>
        <xdr:cNvPr id="86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13211175" y="2105025"/>
          <a:ext cx="342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1381125</xdr:colOff>
      <xdr:row>3</xdr:row>
      <xdr:rowOff>466725</xdr:rowOff>
    </xdr:to>
    <xdr:pic>
      <xdr:nvPicPr>
        <xdr:cNvPr id="87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14458950" y="2105025"/>
          <a:ext cx="1381125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0</xdr:colOff>
      <xdr:row>3</xdr:row>
      <xdr:rowOff>0</xdr:rowOff>
    </xdr:from>
    <xdr:to>
      <xdr:col>15</xdr:col>
      <xdr:colOff>276225</xdr:colOff>
      <xdr:row>3</xdr:row>
      <xdr:rowOff>257175</xdr:rowOff>
    </xdr:to>
    <xdr:pic>
      <xdr:nvPicPr>
        <xdr:cNvPr id="88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15925800" y="2105025"/>
          <a:ext cx="276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0</xdr:colOff>
      <xdr:row>3</xdr:row>
      <xdr:rowOff>0</xdr:rowOff>
    </xdr:from>
    <xdr:to>
      <xdr:col>16</xdr:col>
      <xdr:colOff>1257300</xdr:colOff>
      <xdr:row>3</xdr:row>
      <xdr:rowOff>466725</xdr:rowOff>
    </xdr:to>
    <xdr:pic>
      <xdr:nvPicPr>
        <xdr:cNvPr id="89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16925925" y="2105025"/>
          <a:ext cx="12573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276225</xdr:colOff>
      <xdr:row>3</xdr:row>
      <xdr:rowOff>238125</xdr:rowOff>
    </xdr:to>
    <xdr:pic>
      <xdr:nvPicPr>
        <xdr:cNvPr id="90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18221325" y="2105025"/>
          <a:ext cx="2762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18</xdr:col>
      <xdr:colOff>0</xdr:colOff>
      <xdr:row>3</xdr:row>
      <xdr:rowOff>0</xdr:rowOff>
    </xdr:from>
    <xdr:to>
      <xdr:col>18</xdr:col>
      <xdr:colOff>1257300</xdr:colOff>
      <xdr:row>3</xdr:row>
      <xdr:rowOff>457200</xdr:rowOff>
    </xdr:to>
    <xdr:pic>
      <xdr:nvPicPr>
        <xdr:cNvPr id="91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18954750" y="2105025"/>
          <a:ext cx="12573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19</xdr:col>
      <xdr:colOff>0</xdr:colOff>
      <xdr:row>3</xdr:row>
      <xdr:rowOff>0</xdr:rowOff>
    </xdr:from>
    <xdr:to>
      <xdr:col>19</xdr:col>
      <xdr:colOff>333375</xdr:colOff>
      <xdr:row>3</xdr:row>
      <xdr:rowOff>238125</xdr:rowOff>
    </xdr:to>
    <xdr:pic>
      <xdr:nvPicPr>
        <xdr:cNvPr id="92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20231100" y="21050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1314450</xdr:colOff>
      <xdr:row>3</xdr:row>
      <xdr:rowOff>457200</xdr:rowOff>
    </xdr:to>
    <xdr:pic>
      <xdr:nvPicPr>
        <xdr:cNvPr id="93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21621750" y="2105025"/>
          <a:ext cx="13144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333375</xdr:colOff>
      <xdr:row>3</xdr:row>
      <xdr:rowOff>238125</xdr:rowOff>
    </xdr:to>
    <xdr:pic>
      <xdr:nvPicPr>
        <xdr:cNvPr id="94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23193375" y="2105025"/>
          <a:ext cx="33337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0</xdr:colOff>
      <xdr:row>3</xdr:row>
      <xdr:rowOff>0</xdr:rowOff>
    </xdr:from>
    <xdr:to>
      <xdr:col>22</xdr:col>
      <xdr:colOff>1333500</xdr:colOff>
      <xdr:row>3</xdr:row>
      <xdr:rowOff>457200</xdr:rowOff>
    </xdr:to>
    <xdr:pic>
      <xdr:nvPicPr>
        <xdr:cNvPr id="95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24041100" y="2105025"/>
          <a:ext cx="133350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25</xdr:col>
      <xdr:colOff>0</xdr:colOff>
      <xdr:row>3</xdr:row>
      <xdr:rowOff>0</xdr:rowOff>
    </xdr:from>
    <xdr:to>
      <xdr:col>25</xdr:col>
      <xdr:colOff>428625</xdr:colOff>
      <xdr:row>3</xdr:row>
      <xdr:rowOff>276225</xdr:rowOff>
    </xdr:to>
    <xdr:pic>
      <xdr:nvPicPr>
        <xdr:cNvPr id="96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30584775" y="2105025"/>
          <a:ext cx="4286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27</xdr:col>
      <xdr:colOff>0</xdr:colOff>
      <xdr:row>3</xdr:row>
      <xdr:rowOff>0</xdr:rowOff>
    </xdr:from>
    <xdr:to>
      <xdr:col>27</xdr:col>
      <xdr:colOff>400050</xdr:colOff>
      <xdr:row>3</xdr:row>
      <xdr:rowOff>276225</xdr:rowOff>
    </xdr:to>
    <xdr:pic>
      <xdr:nvPicPr>
        <xdr:cNvPr id="97" name="Picture 39"/>
        <xdr:cNvPicPr>
          <a:picLocks noChangeAspect="1" noChangeArrowheads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 bwMode="auto">
        <a:xfrm>
          <a:off x="32089725" y="2105025"/>
          <a:ext cx="4000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28</xdr:col>
      <xdr:colOff>0</xdr:colOff>
      <xdr:row>3</xdr:row>
      <xdr:rowOff>0</xdr:rowOff>
    </xdr:from>
    <xdr:to>
      <xdr:col>28</xdr:col>
      <xdr:colOff>4514850</xdr:colOff>
      <xdr:row>3</xdr:row>
      <xdr:rowOff>476250</xdr:rowOff>
    </xdr:to>
    <xdr:pic>
      <xdr:nvPicPr>
        <xdr:cNvPr id="98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33366075" y="2105025"/>
          <a:ext cx="451485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3</xdr:row>
      <xdr:rowOff>0</xdr:rowOff>
    </xdr:from>
    <xdr:to>
      <xdr:col>6</xdr:col>
      <xdr:colOff>1285875</xdr:colOff>
      <xdr:row>4</xdr:row>
      <xdr:rowOff>0</xdr:rowOff>
    </xdr:to>
    <xdr:pic>
      <xdr:nvPicPr>
        <xdr:cNvPr id="99" name="Рисунок 98" descr="http://base.garant.ru/files/base/71150640/683916118.png"/>
        <xdr:cNvPicPr/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924425" y="2105025"/>
          <a:ext cx="128587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1866900</xdr:colOff>
      <xdr:row>3</xdr:row>
      <xdr:rowOff>333375</xdr:rowOff>
    </xdr:to>
    <xdr:pic>
      <xdr:nvPicPr>
        <xdr:cNvPr id="100" name="Рисунок 99" descr="http://base.garant.ru/files/base/71150640/2365542732.png"/>
        <xdr:cNvPicPr/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8305800" y="2105025"/>
          <a:ext cx="18669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23</xdr:col>
      <xdr:colOff>0</xdr:colOff>
      <xdr:row>3</xdr:row>
      <xdr:rowOff>0</xdr:rowOff>
    </xdr:from>
    <xdr:to>
      <xdr:col>23</xdr:col>
      <xdr:colOff>3657600</xdr:colOff>
      <xdr:row>3</xdr:row>
      <xdr:rowOff>333375</xdr:rowOff>
    </xdr:to>
    <xdr:pic>
      <xdr:nvPicPr>
        <xdr:cNvPr id="101" name="Рисунок 100" descr="http://base.garant.ru/files/base/71150640/12861190.png"/>
        <xdr:cNvPicPr/>
      </xdr:nvPicPr>
      <xdr:blipFill>
        <a:blip xmlns:r="http://schemas.openxmlformats.org/officeDocument/2006/relationships" r:embed="rId21"/>
        <a:srcRect/>
        <a:stretch>
          <a:fillRect/>
        </a:stretch>
      </xdr:blipFill>
      <xdr:spPr bwMode="auto">
        <a:xfrm>
          <a:off x="25412700" y="2105025"/>
          <a:ext cx="36576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24</xdr:col>
      <xdr:colOff>0</xdr:colOff>
      <xdr:row>3</xdr:row>
      <xdr:rowOff>0</xdr:rowOff>
    </xdr:from>
    <xdr:to>
      <xdr:col>24</xdr:col>
      <xdr:colOff>1314450</xdr:colOff>
      <xdr:row>3</xdr:row>
      <xdr:rowOff>295275</xdr:rowOff>
    </xdr:to>
    <xdr:pic>
      <xdr:nvPicPr>
        <xdr:cNvPr id="102" name="Рисунок 101" descr="http://base.garant.ru/files/base/71150640/2370735380.png"/>
        <xdr:cNvPicPr/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29136975" y="2105025"/>
          <a:ext cx="13144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26</xdr:col>
      <xdr:colOff>0</xdr:colOff>
      <xdr:row>3</xdr:row>
      <xdr:rowOff>0</xdr:rowOff>
    </xdr:from>
    <xdr:to>
      <xdr:col>26</xdr:col>
      <xdr:colOff>428625</xdr:colOff>
      <xdr:row>3</xdr:row>
      <xdr:rowOff>276225</xdr:rowOff>
    </xdr:to>
    <xdr:pic>
      <xdr:nvPicPr>
        <xdr:cNvPr id="103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31337250" y="2105025"/>
          <a:ext cx="428625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0</xdr:col>
      <xdr:colOff>304800</xdr:colOff>
      <xdr:row>5</xdr:row>
      <xdr:rowOff>304800</xdr:rowOff>
    </xdr:to>
    <xdr:sp macro="" textlink="">
      <xdr:nvSpPr>
        <xdr:cNvPr id="4" name="AutoShape 1" descr="data:image/png;base64,iVBORw0KGgoAAAANSUhEUgAAAAUAAAAFCAYAAACNbyblAAAAIGNIUk0AAHolAACAgwAA+f8AAIDpAAB1MAAA6mAAADqYAAAXb5JfxUYAAAAJcEhZcwAACxIAAAsSAdLdfvwAAAAadEVYdFNvZnR3YXJlAFBhaW50Lk5FVCB2My41LjEwMPRyoQAAADFJREFUGFdjZKg6LMfAwDAHiC2B+DgQpzAABXcD8X8kvB8k+BlN8CdOlXJQI75AaXkAKKYsn2aODW8AAAAASUVORK5CYII="/>
        <xdr:cNvSpPr>
          <a:spLocks noChangeAspect="1" noChangeArrowheads="1"/>
        </xdr:cNvSpPr>
      </xdr:nvSpPr>
      <xdr:spPr bwMode="auto">
        <a:xfrm>
          <a:off x="0" y="25241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0</xdr:colOff>
      <xdr:row>11</xdr:row>
      <xdr:rowOff>0</xdr:rowOff>
    </xdr:from>
    <xdr:ext cx="304800" cy="304800"/>
    <xdr:sp macro="" textlink="">
      <xdr:nvSpPr>
        <xdr:cNvPr id="5" name="AutoShape 1" descr="data:image/png;base64,iVBORw0KGgoAAAANSUhEUgAAAAUAAAAFCAYAAACNbyblAAAAIGNIUk0AAHolAACAgwAA+f8AAIDpAAB1MAAA6mAAADqYAAAXb5JfxUYAAAAJcEhZcwAACxIAAAsSAdLdfvwAAAAadEVYdFNvZnR3YXJlAFBhaW50Lk5FVCB2My41LjEwMPRyoQAAADFJREFUGFdjZKg6LMfAwDAHiC2B+DgQpzAABXcD8X8kvB8k+BlN8CdOlXJQI75AaXkAKKYsn2aODW8AAAAASUVORK5CYII="/>
        <xdr:cNvSpPr>
          <a:spLocks noChangeAspect="1" noChangeArrowheads="1"/>
        </xdr:cNvSpPr>
      </xdr:nvSpPr>
      <xdr:spPr bwMode="auto">
        <a:xfrm>
          <a:off x="0" y="57531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conomist\Documents\&#1055;&#1088;&#1086;&#1077;&#1082;&#1090;%20&#1073;&#1102;&#1076;&#1078;&#1077;&#1090;&#1072;\&#1055;&#1088;&#1086;&#1077;&#1082;&#1090;%20&#1073;&#1102;&#1076;&#1078;&#1077;&#1090;&#1072;%202023\&#1053;&#1086;&#1088;&#1084;&#1072;&#1090;&#1080;&#1074;&#1085;&#1099;&#1077;%20&#1079;&#1072;&#1090;&#1088;&#1072;&#1090;&#1099;\&#1064;&#1082;&#1086;&#1083;&#1099;%20&#1085;&#1072;%202023%20&#1075;&#1086;&#10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conomist\Documents\&#1055;&#1088;&#1086;&#1077;&#1082;&#1090;%20&#1073;&#1102;&#1076;&#1078;&#1077;&#1090;&#1072;\&#1055;&#1088;&#1086;&#1077;&#1082;&#1090;%20&#1073;&#1102;&#1076;&#1078;&#1077;&#1090;&#1072;%202023\&#1053;&#1086;&#1088;&#1084;&#1072;&#1090;&#1080;&#1074;&#1085;&#1099;&#1077;%20&#1079;&#1072;&#1090;&#1088;&#1072;&#1090;&#1099;\&#1044;&#1086;&#1087;.&#1086;&#1073;&#1088;&#1072;&#1079;&#1086;&#1074;&#1072;&#1085;&#1080;&#1077;%20&#1080;%20&#1087;&#1088;&#1086;&#1095;&#1080;&#1077;%20&#1085;&#1072;%202023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ФОТ на 2023"/>
    </sheetNames>
    <sheetDataSet>
      <sheetData sheetId="0">
        <row r="5">
          <cell r="C5">
            <v>100</v>
          </cell>
        </row>
        <row r="6">
          <cell r="C6">
            <v>213</v>
          </cell>
        </row>
        <row r="7">
          <cell r="C7">
            <v>221</v>
          </cell>
        </row>
        <row r="8">
          <cell r="C8">
            <v>23</v>
          </cell>
        </row>
        <row r="9">
          <cell r="C9">
            <v>0</v>
          </cell>
        </row>
        <row r="10">
          <cell r="C10">
            <v>36</v>
          </cell>
        </row>
        <row r="11">
          <cell r="C11">
            <v>245</v>
          </cell>
        </row>
        <row r="12">
          <cell r="C12">
            <v>17</v>
          </cell>
        </row>
        <row r="13">
          <cell r="C13">
            <v>317</v>
          </cell>
        </row>
        <row r="14">
          <cell r="C14">
            <v>46</v>
          </cell>
        </row>
        <row r="15">
          <cell r="C15">
            <v>549</v>
          </cell>
        </row>
        <row r="16">
          <cell r="C16">
            <v>658</v>
          </cell>
        </row>
        <row r="17">
          <cell r="C17">
            <v>75</v>
          </cell>
        </row>
        <row r="18">
          <cell r="C18">
            <v>208</v>
          </cell>
        </row>
        <row r="20">
          <cell r="C20">
            <v>213</v>
          </cell>
        </row>
        <row r="23">
          <cell r="C23">
            <v>334</v>
          </cell>
        </row>
        <row r="24">
          <cell r="C24">
            <v>386</v>
          </cell>
        </row>
        <row r="25">
          <cell r="C25">
            <v>40</v>
          </cell>
        </row>
        <row r="26">
          <cell r="C26">
            <v>494</v>
          </cell>
        </row>
        <row r="27">
          <cell r="C27">
            <v>561</v>
          </cell>
        </row>
        <row r="28">
          <cell r="C28">
            <v>75</v>
          </cell>
        </row>
        <row r="29">
          <cell r="C29">
            <v>259</v>
          </cell>
        </row>
        <row r="30">
          <cell r="C30">
            <v>62</v>
          </cell>
        </row>
        <row r="31">
          <cell r="C31">
            <v>254</v>
          </cell>
        </row>
        <row r="34">
          <cell r="C34">
            <v>83</v>
          </cell>
        </row>
        <row r="35">
          <cell r="C35">
            <v>37</v>
          </cell>
        </row>
        <row r="36">
          <cell r="C36">
            <v>552</v>
          </cell>
        </row>
        <row r="41">
          <cell r="C41">
            <v>124</v>
          </cell>
        </row>
        <row r="42">
          <cell r="C42">
            <v>121</v>
          </cell>
        </row>
        <row r="43">
          <cell r="C43">
            <v>6</v>
          </cell>
        </row>
        <row r="47">
          <cell r="C47">
            <v>149</v>
          </cell>
        </row>
        <row r="48">
          <cell r="C48">
            <v>170</v>
          </cell>
        </row>
        <row r="50">
          <cell r="C50">
            <v>22</v>
          </cell>
        </row>
        <row r="51">
          <cell r="C51">
            <v>306</v>
          </cell>
        </row>
        <row r="52">
          <cell r="C52">
            <v>325</v>
          </cell>
        </row>
        <row r="53">
          <cell r="C53">
            <v>39</v>
          </cell>
        </row>
        <row r="54">
          <cell r="C54">
            <v>30</v>
          </cell>
        </row>
        <row r="55">
          <cell r="C55">
            <v>32</v>
          </cell>
        </row>
        <row r="56">
          <cell r="C56">
            <v>38</v>
          </cell>
        </row>
        <row r="58">
          <cell r="C58">
            <v>84</v>
          </cell>
        </row>
        <row r="59">
          <cell r="C59">
            <v>13</v>
          </cell>
        </row>
        <row r="60">
          <cell r="C60">
            <v>63</v>
          </cell>
        </row>
        <row r="62">
          <cell r="C62">
            <v>47</v>
          </cell>
        </row>
        <row r="63">
          <cell r="C63">
            <v>73</v>
          </cell>
        </row>
      </sheetData>
      <sheetData sheetId="1">
        <row r="6">
          <cell r="M6">
            <v>3600</v>
          </cell>
          <cell r="P6">
            <v>740.5</v>
          </cell>
          <cell r="S6">
            <v>29062.9</v>
          </cell>
          <cell r="V6">
            <v>628.1</v>
          </cell>
          <cell r="Y6">
            <v>2575.6</v>
          </cell>
        </row>
        <row r="7">
          <cell r="M7">
            <v>600</v>
          </cell>
          <cell r="P7">
            <v>195.6</v>
          </cell>
          <cell r="V7">
            <v>0</v>
          </cell>
          <cell r="Y7">
            <v>1972.2</v>
          </cell>
        </row>
        <row r="8">
          <cell r="M8">
            <v>3600</v>
          </cell>
          <cell r="P8">
            <v>1604.5</v>
          </cell>
          <cell r="S8">
            <v>30837.9</v>
          </cell>
          <cell r="V8">
            <v>418.7</v>
          </cell>
          <cell r="Y8">
            <v>2575.6</v>
          </cell>
        </row>
        <row r="9">
          <cell r="M9">
            <v>5040</v>
          </cell>
          <cell r="P9">
            <v>1974.7</v>
          </cell>
          <cell r="S9">
            <v>55097.599999999999</v>
          </cell>
          <cell r="V9">
            <v>837.5</v>
          </cell>
          <cell r="Y9">
            <v>5881.2</v>
          </cell>
        </row>
        <row r="10">
          <cell r="M10">
            <v>0</v>
          </cell>
          <cell r="V10">
            <v>0</v>
          </cell>
          <cell r="Y10">
            <v>830.4</v>
          </cell>
        </row>
        <row r="11">
          <cell r="M11">
            <v>2160</v>
          </cell>
          <cell r="P11">
            <v>740.5</v>
          </cell>
          <cell r="S11">
            <v>22608.699999999997</v>
          </cell>
          <cell r="V11">
            <v>418.7</v>
          </cell>
          <cell r="Y11">
            <v>2575.6</v>
          </cell>
        </row>
        <row r="12">
          <cell r="M12">
            <v>4320</v>
          </cell>
          <cell r="P12">
            <v>1481</v>
          </cell>
          <cell r="S12">
            <v>32379</v>
          </cell>
          <cell r="V12">
            <v>628.1</v>
          </cell>
          <cell r="Y12">
            <v>7909.2</v>
          </cell>
        </row>
        <row r="13">
          <cell r="M13">
            <v>4680</v>
          </cell>
          <cell r="P13">
            <v>1604.5</v>
          </cell>
          <cell r="S13">
            <v>46496.100000000006</v>
          </cell>
          <cell r="V13">
            <v>209.4</v>
          </cell>
          <cell r="Y13">
            <v>6408.5</v>
          </cell>
        </row>
        <row r="14">
          <cell r="M14">
            <v>3600</v>
          </cell>
          <cell r="P14">
            <v>863.9</v>
          </cell>
          <cell r="S14">
            <v>33748.800000000003</v>
          </cell>
          <cell r="V14">
            <v>418.7</v>
          </cell>
          <cell r="Y14">
            <v>3589.6</v>
          </cell>
        </row>
        <row r="15">
          <cell r="M15">
            <v>5040</v>
          </cell>
          <cell r="P15">
            <v>2468.4</v>
          </cell>
          <cell r="S15">
            <v>66575.7</v>
          </cell>
          <cell r="V15">
            <v>418.7</v>
          </cell>
          <cell r="Y15">
            <v>6307.1</v>
          </cell>
        </row>
        <row r="16">
          <cell r="M16">
            <v>600</v>
          </cell>
          <cell r="P16">
            <v>146.69999999999999</v>
          </cell>
          <cell r="Y16">
            <v>2387.4</v>
          </cell>
        </row>
        <row r="17">
          <cell r="M17">
            <v>2880</v>
          </cell>
          <cell r="P17">
            <v>1234.2</v>
          </cell>
          <cell r="S17">
            <v>28347.4</v>
          </cell>
          <cell r="V17">
            <v>575.79999999999995</v>
          </cell>
          <cell r="Y17">
            <v>2981.2</v>
          </cell>
        </row>
        <row r="18">
          <cell r="M18">
            <v>600</v>
          </cell>
          <cell r="P18">
            <v>195.6</v>
          </cell>
          <cell r="Y18">
            <v>2076</v>
          </cell>
        </row>
        <row r="19">
          <cell r="M19">
            <v>2880</v>
          </cell>
          <cell r="P19">
            <v>617.1</v>
          </cell>
          <cell r="S19">
            <v>23832.5</v>
          </cell>
          <cell r="V19">
            <v>0</v>
          </cell>
          <cell r="Y19">
            <v>2474.1999999999998</v>
          </cell>
        </row>
        <row r="20">
          <cell r="M20">
            <v>3240</v>
          </cell>
          <cell r="P20">
            <v>987.4</v>
          </cell>
          <cell r="S20">
            <v>28832</v>
          </cell>
          <cell r="V20">
            <v>628.1</v>
          </cell>
          <cell r="Y20">
            <v>3234.7</v>
          </cell>
        </row>
        <row r="22">
          <cell r="M22">
            <v>1440</v>
          </cell>
          <cell r="P22">
            <v>123.4</v>
          </cell>
          <cell r="S22">
            <v>13729.5</v>
          </cell>
          <cell r="V22">
            <v>104.7</v>
          </cell>
          <cell r="Y22">
            <v>2575.6</v>
          </cell>
        </row>
        <row r="23">
          <cell r="H23">
            <v>2.2999999999999998</v>
          </cell>
          <cell r="M23">
            <v>600</v>
          </cell>
          <cell r="P23">
            <v>195.6</v>
          </cell>
          <cell r="V23">
            <v>0</v>
          </cell>
          <cell r="Y23">
            <v>1245.5999999999999</v>
          </cell>
        </row>
        <row r="24">
          <cell r="M24">
            <v>1440</v>
          </cell>
          <cell r="P24">
            <v>1110.8</v>
          </cell>
          <cell r="S24">
            <v>22652.2</v>
          </cell>
          <cell r="V24">
            <v>209.4</v>
          </cell>
          <cell r="Y24">
            <v>2372.8000000000002</v>
          </cell>
        </row>
        <row r="25">
          <cell r="M25">
            <v>600</v>
          </cell>
          <cell r="P25">
            <v>195.6</v>
          </cell>
          <cell r="V25">
            <v>0</v>
          </cell>
          <cell r="Y25">
            <v>2231.6999999999998</v>
          </cell>
        </row>
        <row r="26">
          <cell r="M26">
            <v>1440</v>
          </cell>
          <cell r="P26">
            <v>740.5</v>
          </cell>
          <cell r="S26">
            <v>10174.5</v>
          </cell>
          <cell r="V26">
            <v>209.4</v>
          </cell>
          <cell r="Y26">
            <v>2423.5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Фот на 2022 по разным ставкам"/>
      <sheetName val="Лист1"/>
    </sheetNames>
    <sheetDataSet>
      <sheetData sheetId="0"/>
      <sheetData sheetId="1"/>
      <sheetData sheetId="2">
        <row r="4">
          <cell r="G4">
            <v>1800</v>
          </cell>
          <cell r="J4">
            <v>3513.6</v>
          </cell>
        </row>
        <row r="5">
          <cell r="G5">
            <v>1800</v>
          </cell>
          <cell r="J5">
            <v>3340.8</v>
          </cell>
        </row>
        <row r="6">
          <cell r="G6">
            <v>1800</v>
          </cell>
          <cell r="J6">
            <v>4981.7</v>
          </cell>
        </row>
        <row r="7">
          <cell r="G7">
            <v>1200</v>
          </cell>
          <cell r="J7">
            <v>3090.4</v>
          </cell>
        </row>
        <row r="12">
          <cell r="G12">
            <v>1070.3520000000001</v>
          </cell>
          <cell r="J12">
            <v>366.69600000000003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3"/>
  <sheetViews>
    <sheetView workbookViewId="0"/>
  </sheetViews>
  <sheetFormatPr defaultColWidth="9.109375" defaultRowHeight="13.8" x14ac:dyDescent="0.25"/>
  <cols>
    <col min="1" max="1" width="16.5546875" style="2" customWidth="1"/>
    <col min="2" max="2" width="25.109375" style="2" customWidth="1"/>
    <col min="3" max="3" width="6.33203125" style="2" customWidth="1"/>
    <col min="4" max="4" width="6.5546875" style="2" customWidth="1"/>
    <col min="5" max="5" width="6.88671875" style="2" customWidth="1"/>
    <col min="6" max="6" width="13.6640625" style="2" customWidth="1"/>
    <col min="7" max="7" width="11.88671875" style="2" customWidth="1"/>
    <col min="8" max="8" width="22.88671875" style="2" customWidth="1"/>
    <col min="9" max="9" width="15.88671875" style="2" customWidth="1"/>
    <col min="10" max="10" width="7.6640625" style="2" customWidth="1"/>
    <col min="11" max="11" width="13" style="2" customWidth="1"/>
    <col min="12" max="12" width="13.5546875" style="2" customWidth="1"/>
    <col min="13" max="13" width="23" style="2" customWidth="1"/>
    <col min="14" max="14" width="15.33203125" style="2" customWidth="1"/>
    <col min="15" max="15" width="15.109375" style="2" customWidth="1"/>
    <col min="16" max="16" width="27.44140625" style="39" customWidth="1"/>
    <col min="17" max="18" width="12.33203125" style="2" customWidth="1"/>
    <col min="19" max="19" width="21.44140625" style="2" customWidth="1"/>
    <col min="20" max="20" width="18.6640625" style="98" customWidth="1"/>
    <col min="21" max="21" width="20.6640625" style="2" customWidth="1"/>
    <col min="22" max="22" width="12.44140625" style="98" customWidth="1"/>
    <col min="23" max="23" width="18.88671875" style="2" customWidth="1"/>
    <col min="24" max="24" width="12.44140625" style="2" customWidth="1"/>
    <col min="25" max="25" width="19.5546875" style="2" customWidth="1"/>
    <col min="26" max="26" width="20.88671875" style="2" customWidth="1"/>
    <col min="27" max="27" width="23.88671875" style="2" customWidth="1"/>
    <col min="28" max="28" width="12.6640625" style="2" customWidth="1"/>
    <col min="29" max="29" width="21.5546875" style="2" customWidth="1"/>
    <col min="30" max="30" width="57" style="39" customWidth="1"/>
    <col min="31" max="31" width="20.88671875" style="39" customWidth="1"/>
    <col min="32" max="32" width="11.5546875" style="2" customWidth="1"/>
    <col min="33" max="33" width="10" style="2" customWidth="1"/>
    <col min="34" max="34" width="68" style="2" customWidth="1"/>
    <col min="35" max="35" width="14.109375" style="2" customWidth="1"/>
    <col min="36" max="16384" width="9.109375" style="2"/>
  </cols>
  <sheetData>
    <row r="1" spans="1:35" ht="14.4" thickBot="1" x14ac:dyDescent="0.3">
      <c r="F1" s="113" t="s">
        <v>62</v>
      </c>
      <c r="G1" s="113"/>
      <c r="H1" s="113"/>
      <c r="I1" s="113"/>
    </row>
    <row r="2" spans="1:35" ht="19.5" customHeight="1" thickBot="1" x14ac:dyDescent="0.35">
      <c r="A2" s="114" t="s">
        <v>33</v>
      </c>
      <c r="B2" s="116" t="s">
        <v>41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7"/>
      <c r="Q2" s="118" t="s">
        <v>54</v>
      </c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20"/>
      <c r="AE2" s="121" t="s">
        <v>56</v>
      </c>
      <c r="AF2" s="121" t="s">
        <v>57</v>
      </c>
      <c r="AG2" s="121" t="s">
        <v>57</v>
      </c>
      <c r="AH2" s="123" t="s">
        <v>58</v>
      </c>
      <c r="AI2" s="125" t="s">
        <v>59</v>
      </c>
    </row>
    <row r="3" spans="1:35" ht="130.5" customHeight="1" thickBot="1" x14ac:dyDescent="0.3">
      <c r="A3" s="115"/>
      <c r="B3" s="3" t="s">
        <v>25</v>
      </c>
      <c r="C3" s="4" t="s">
        <v>28</v>
      </c>
      <c r="D3" s="4" t="s">
        <v>32</v>
      </c>
      <c r="E3" s="4" t="s">
        <v>29</v>
      </c>
      <c r="F3" s="4" t="s">
        <v>35</v>
      </c>
      <c r="G3" s="4" t="s">
        <v>34</v>
      </c>
      <c r="H3" s="4" t="s">
        <v>37</v>
      </c>
      <c r="I3" s="5"/>
      <c r="J3" s="6" t="s">
        <v>31</v>
      </c>
      <c r="K3" s="6" t="s">
        <v>36</v>
      </c>
      <c r="L3" s="4" t="s">
        <v>34</v>
      </c>
      <c r="M3" s="4" t="s">
        <v>37</v>
      </c>
      <c r="O3" s="7" t="s">
        <v>38</v>
      </c>
      <c r="P3" s="8" t="s">
        <v>39</v>
      </c>
      <c r="Q3" s="6" t="s">
        <v>61</v>
      </c>
      <c r="R3" s="6" t="s">
        <v>42</v>
      </c>
      <c r="S3" s="4" t="s">
        <v>43</v>
      </c>
      <c r="T3" s="9" t="s">
        <v>44</v>
      </c>
      <c r="U3" s="4" t="s">
        <v>45</v>
      </c>
      <c r="V3" s="10" t="s">
        <v>46</v>
      </c>
      <c r="W3" s="4" t="s">
        <v>47</v>
      </c>
      <c r="X3" s="6" t="s">
        <v>48</v>
      </c>
      <c r="Y3" s="4" t="s">
        <v>49</v>
      </c>
      <c r="Z3" s="6" t="s">
        <v>50</v>
      </c>
      <c r="AA3" s="4" t="s">
        <v>51</v>
      </c>
      <c r="AB3" s="6" t="s">
        <v>52</v>
      </c>
      <c r="AC3" s="4" t="s">
        <v>53</v>
      </c>
      <c r="AD3" s="8" t="s">
        <v>55</v>
      </c>
      <c r="AE3" s="127"/>
      <c r="AF3" s="122"/>
      <c r="AG3" s="122"/>
      <c r="AH3" s="124"/>
      <c r="AI3" s="125"/>
    </row>
    <row r="4" spans="1:35" ht="59.25" customHeight="1" x14ac:dyDescent="0.25">
      <c r="A4" s="11"/>
      <c r="B4" s="12"/>
      <c r="C4" s="12"/>
      <c r="D4" s="12"/>
      <c r="E4" s="12"/>
      <c r="F4" s="12"/>
      <c r="G4" s="12"/>
      <c r="H4" s="12"/>
      <c r="I4" s="16" t="s">
        <v>30</v>
      </c>
      <c r="J4" s="99"/>
      <c r="K4" s="99"/>
      <c r="L4" s="99"/>
      <c r="M4" s="99"/>
      <c r="N4" s="16" t="s">
        <v>30</v>
      </c>
      <c r="O4" s="16"/>
      <c r="P4" s="100"/>
      <c r="Q4" s="101"/>
      <c r="R4" s="101"/>
      <c r="S4" s="101"/>
      <c r="T4" s="31"/>
      <c r="U4" s="16"/>
      <c r="V4" s="31"/>
      <c r="W4" s="16"/>
      <c r="X4" s="16"/>
      <c r="Y4" s="16"/>
      <c r="Z4" s="16"/>
      <c r="AA4" s="16"/>
      <c r="AB4" s="16"/>
      <c r="AC4" s="16"/>
      <c r="AD4" s="100"/>
      <c r="AE4" s="102"/>
      <c r="AF4" s="103"/>
      <c r="AG4" s="103"/>
      <c r="AH4" s="104"/>
      <c r="AI4" s="16"/>
    </row>
    <row r="5" spans="1:35" ht="60" customHeight="1" x14ac:dyDescent="0.25">
      <c r="A5" s="126" t="s">
        <v>0</v>
      </c>
      <c r="B5" s="13" t="s">
        <v>26</v>
      </c>
      <c r="C5" s="19">
        <v>4</v>
      </c>
      <c r="D5" s="16">
        <v>114</v>
      </c>
      <c r="E5" s="16">
        <v>11.5</v>
      </c>
      <c r="F5" s="16">
        <v>0.10088</v>
      </c>
      <c r="G5" s="21">
        <v>593712</v>
      </c>
      <c r="H5" s="17">
        <v>59893.666599999997</v>
      </c>
      <c r="I5" s="18">
        <v>6827877.9923999999</v>
      </c>
      <c r="J5" s="22">
        <v>5</v>
      </c>
      <c r="K5" s="24">
        <v>4.3860000000000003E-2</v>
      </c>
      <c r="L5" s="25">
        <v>267170.40000000002</v>
      </c>
      <c r="M5" s="18">
        <v>11718.09</v>
      </c>
      <c r="N5" s="18">
        <v>1335862.26</v>
      </c>
      <c r="O5" s="18">
        <v>5135</v>
      </c>
      <c r="P5" s="26">
        <v>76746.756599999993</v>
      </c>
      <c r="Q5" s="27">
        <v>28158</v>
      </c>
      <c r="R5" s="27">
        <v>1930800</v>
      </c>
      <c r="S5" s="28">
        <v>13597.183000000001</v>
      </c>
      <c r="T5" s="29">
        <v>331100</v>
      </c>
      <c r="U5" s="16">
        <v>2331.6900999999998</v>
      </c>
      <c r="V5" s="29">
        <v>49248</v>
      </c>
      <c r="W5" s="16">
        <v>346.81689999999998</v>
      </c>
      <c r="X5" s="29"/>
      <c r="Y5" s="16">
        <v>0</v>
      </c>
      <c r="Z5" s="16">
        <v>5197063.2</v>
      </c>
      <c r="AA5" s="16">
        <v>36599.036999999997</v>
      </c>
      <c r="AB5" s="16">
        <v>1399600</v>
      </c>
      <c r="AC5" s="16">
        <v>9856.3379999999997</v>
      </c>
      <c r="AD5" s="37">
        <v>62731.065000000002</v>
      </c>
      <c r="AE5" s="37">
        <v>139477.8216</v>
      </c>
      <c r="AF5" s="16">
        <v>231406.70559999999</v>
      </c>
      <c r="AG5" s="16">
        <v>185777.21435492957</v>
      </c>
      <c r="AH5" s="36">
        <v>16086248.880000001</v>
      </c>
      <c r="AI5" s="16">
        <v>21060003.440000001</v>
      </c>
    </row>
    <row r="6" spans="1:35" ht="47.25" customHeight="1" x14ac:dyDescent="0.25">
      <c r="A6" s="126"/>
      <c r="B6" s="13" t="s">
        <v>27</v>
      </c>
      <c r="C6" s="16">
        <v>2</v>
      </c>
      <c r="D6" s="16">
        <v>28</v>
      </c>
      <c r="E6" s="16">
        <v>4.6500000000000004</v>
      </c>
      <c r="F6" s="16">
        <v>0.16607</v>
      </c>
      <c r="G6" s="21">
        <v>593712</v>
      </c>
      <c r="H6" s="17">
        <v>98597.751799999998</v>
      </c>
      <c r="I6" s="18">
        <v>2760737.0504000001</v>
      </c>
      <c r="J6" s="22">
        <v>1</v>
      </c>
      <c r="K6" s="24">
        <v>3.5709999999999999E-2</v>
      </c>
      <c r="L6" s="25">
        <v>267170.40000000002</v>
      </c>
      <c r="M6" s="18">
        <v>9540.65</v>
      </c>
      <c r="N6" s="18">
        <v>267138.2</v>
      </c>
      <c r="O6" s="18">
        <v>5135</v>
      </c>
      <c r="P6" s="26">
        <v>113273.40179999999</v>
      </c>
      <c r="Q6" s="27">
        <v>6916</v>
      </c>
      <c r="R6" s="27"/>
      <c r="S6" s="28">
        <v>13597.183000000001</v>
      </c>
      <c r="T6" s="31"/>
      <c r="U6" s="16">
        <v>2331.6900999999998</v>
      </c>
      <c r="V6" s="31"/>
      <c r="W6" s="16">
        <v>346.81689999999998</v>
      </c>
      <c r="X6" s="16"/>
      <c r="Y6" s="16">
        <v>0</v>
      </c>
      <c r="Z6" s="16"/>
      <c r="AA6" s="16">
        <v>36599.036999999997</v>
      </c>
      <c r="AB6" s="16"/>
      <c r="AC6" s="16">
        <v>9856.3379999999997</v>
      </c>
      <c r="AD6" s="37">
        <v>62731.065000000002</v>
      </c>
      <c r="AE6" s="37">
        <v>176004.46679999999</v>
      </c>
      <c r="AF6" s="16"/>
      <c r="AG6" s="16">
        <v>45629.491245070421</v>
      </c>
      <c r="AH6" s="36">
        <v>4973754.5599999996</v>
      </c>
      <c r="AI6" s="16"/>
    </row>
    <row r="7" spans="1:35" ht="47.25" customHeight="1" x14ac:dyDescent="0.25">
      <c r="A7" s="14" t="s">
        <v>1</v>
      </c>
      <c r="B7" s="13" t="s">
        <v>26</v>
      </c>
      <c r="C7" s="19">
        <v>6.7</v>
      </c>
      <c r="D7" s="16">
        <v>160</v>
      </c>
      <c r="E7" s="16">
        <v>14.55</v>
      </c>
      <c r="F7" s="16">
        <v>9.0939999999999993E-2</v>
      </c>
      <c r="G7" s="21">
        <v>593712</v>
      </c>
      <c r="H7" s="17">
        <v>53992.169300000001</v>
      </c>
      <c r="I7" s="18">
        <v>8638747.0879999995</v>
      </c>
      <c r="J7" s="18">
        <v>8.1999999999999993</v>
      </c>
      <c r="K7" s="24">
        <v>5.1249999999999997E-2</v>
      </c>
      <c r="L7" s="25">
        <v>267170.40000000002</v>
      </c>
      <c r="M7" s="18">
        <v>13692.48</v>
      </c>
      <c r="N7" s="18">
        <v>2190796.7999999998</v>
      </c>
      <c r="O7" s="18">
        <v>5135</v>
      </c>
      <c r="P7" s="26">
        <v>72819.649300000005</v>
      </c>
      <c r="Q7" s="27">
        <v>39520</v>
      </c>
      <c r="R7" s="27">
        <v>1553100</v>
      </c>
      <c r="S7" s="28">
        <v>9706.875</v>
      </c>
      <c r="T7" s="29">
        <v>169835</v>
      </c>
      <c r="U7" s="16">
        <v>1061.4688000000001</v>
      </c>
      <c r="V7" s="29">
        <v>42000</v>
      </c>
      <c r="W7" s="16">
        <v>262.5</v>
      </c>
      <c r="X7" s="16"/>
      <c r="Y7" s="16">
        <v>0</v>
      </c>
      <c r="Z7" s="16">
        <v>5477383.7999999998</v>
      </c>
      <c r="AA7" s="16">
        <v>34233.648999999998</v>
      </c>
      <c r="AB7" s="16">
        <v>940084</v>
      </c>
      <c r="AC7" s="16">
        <v>5875.5249999999996</v>
      </c>
      <c r="AD7" s="37">
        <v>51140.017800000001</v>
      </c>
      <c r="AE7" s="37">
        <v>123959.66710000001</v>
      </c>
      <c r="AF7" s="16">
        <v>30284.821800000002</v>
      </c>
      <c r="AG7" s="16">
        <v>30284.821800000002</v>
      </c>
      <c r="AH7" s="36">
        <v>19863831.559999999</v>
      </c>
      <c r="AI7" s="16">
        <v>19863831.559999999</v>
      </c>
    </row>
    <row r="8" spans="1:35" ht="48" customHeight="1" x14ac:dyDescent="0.25">
      <c r="A8" s="14" t="s">
        <v>2</v>
      </c>
      <c r="B8" s="13" t="s">
        <v>26</v>
      </c>
      <c r="C8" s="19">
        <v>4</v>
      </c>
      <c r="D8" s="16">
        <v>96</v>
      </c>
      <c r="E8" s="16">
        <v>9.15</v>
      </c>
      <c r="F8" s="16">
        <v>9.5310000000000006E-2</v>
      </c>
      <c r="G8" s="21">
        <v>593712</v>
      </c>
      <c r="H8" s="17">
        <v>56586.690699999999</v>
      </c>
      <c r="I8" s="18">
        <v>5432322.3071999997</v>
      </c>
      <c r="J8" s="18">
        <v>4.7</v>
      </c>
      <c r="K8" s="24">
        <v>4.8959999999999997E-2</v>
      </c>
      <c r="L8" s="25">
        <v>267170.40000000002</v>
      </c>
      <c r="M8" s="18">
        <v>13080.66</v>
      </c>
      <c r="N8" s="18">
        <v>1255743.3600000001</v>
      </c>
      <c r="O8" s="18">
        <v>5135</v>
      </c>
      <c r="P8" s="26">
        <v>74802.350699999995</v>
      </c>
      <c r="Q8" s="27">
        <v>23712</v>
      </c>
      <c r="R8" s="27">
        <v>1244100</v>
      </c>
      <c r="S8" s="28">
        <v>12959.375</v>
      </c>
      <c r="T8" s="29">
        <v>200500</v>
      </c>
      <c r="U8" s="16">
        <v>2088.5417000000002</v>
      </c>
      <c r="V8" s="29">
        <v>40000</v>
      </c>
      <c r="W8" s="16">
        <v>416.66669999999999</v>
      </c>
      <c r="X8" s="16"/>
      <c r="Y8" s="16">
        <v>0</v>
      </c>
      <c r="Z8" s="16">
        <v>3671249.4</v>
      </c>
      <c r="AA8" s="16">
        <v>38242.180999999997</v>
      </c>
      <c r="AB8" s="16">
        <v>1246300</v>
      </c>
      <c r="AC8" s="16">
        <v>12982.291999999999</v>
      </c>
      <c r="AD8" s="37">
        <v>66689.056400000001</v>
      </c>
      <c r="AE8" s="37">
        <v>141491.40710000001</v>
      </c>
      <c r="AF8" s="16">
        <v>70241.413120000012</v>
      </c>
      <c r="AG8" s="16">
        <v>70241.413120000012</v>
      </c>
      <c r="AH8" s="36">
        <v>13653416.49</v>
      </c>
      <c r="AI8" s="16">
        <v>13653416.49</v>
      </c>
    </row>
    <row r="9" spans="1:35" ht="47.25" customHeight="1" x14ac:dyDescent="0.25">
      <c r="A9" s="14" t="s">
        <v>3</v>
      </c>
      <c r="B9" s="13" t="s">
        <v>26</v>
      </c>
      <c r="C9" s="19">
        <v>1</v>
      </c>
      <c r="D9" s="16">
        <v>15</v>
      </c>
      <c r="E9" s="16">
        <v>1.8</v>
      </c>
      <c r="F9" s="16">
        <v>0.12</v>
      </c>
      <c r="G9" s="21">
        <v>593712</v>
      </c>
      <c r="H9" s="17">
        <v>71245.440000000002</v>
      </c>
      <c r="I9" s="18">
        <v>1068681.6000000001</v>
      </c>
      <c r="J9" s="18">
        <v>1.1499999999999999</v>
      </c>
      <c r="K9" s="24">
        <v>7.6670000000000002E-2</v>
      </c>
      <c r="L9" s="25">
        <v>267170.40000000002</v>
      </c>
      <c r="M9" s="18">
        <v>20483.95</v>
      </c>
      <c r="N9" s="18">
        <v>307259.25</v>
      </c>
      <c r="O9" s="18">
        <v>5135</v>
      </c>
      <c r="P9" s="26">
        <v>96864.39</v>
      </c>
      <c r="Q9" s="27">
        <v>3705</v>
      </c>
      <c r="R9" s="27">
        <v>814900.00000000012</v>
      </c>
      <c r="S9" s="28">
        <v>54326.667000000001</v>
      </c>
      <c r="T9" s="29">
        <v>81400</v>
      </c>
      <c r="U9" s="16">
        <v>5426.6666999999998</v>
      </c>
      <c r="V9" s="29">
        <v>30000</v>
      </c>
      <c r="W9" s="16">
        <v>2000</v>
      </c>
      <c r="X9" s="34"/>
      <c r="Y9" s="16">
        <v>0</v>
      </c>
      <c r="Z9" s="16">
        <v>2327585.4</v>
      </c>
      <c r="AA9" s="16">
        <v>155172.35999999999</v>
      </c>
      <c r="AB9" s="16">
        <v>346764</v>
      </c>
      <c r="AC9" s="16">
        <v>23117.599999999999</v>
      </c>
      <c r="AD9" s="37">
        <v>240043.29370000001</v>
      </c>
      <c r="AE9" s="37">
        <v>336907.68369999999</v>
      </c>
      <c r="AF9" s="16">
        <v>11809.630499999999</v>
      </c>
      <c r="AG9" s="16">
        <v>11809.630499999999</v>
      </c>
      <c r="AH9" s="36">
        <v>5065424.8899999997</v>
      </c>
      <c r="AI9" s="16">
        <v>5065424.8899999997</v>
      </c>
    </row>
    <row r="10" spans="1:35" ht="47.25" customHeight="1" x14ac:dyDescent="0.25">
      <c r="A10" s="126" t="s">
        <v>4</v>
      </c>
      <c r="B10" s="13" t="s">
        <v>26</v>
      </c>
      <c r="C10" s="19">
        <v>4</v>
      </c>
      <c r="D10" s="16">
        <v>92</v>
      </c>
      <c r="E10" s="16">
        <v>10</v>
      </c>
      <c r="F10" s="16">
        <v>0.1087</v>
      </c>
      <c r="G10" s="21">
        <v>593712</v>
      </c>
      <c r="H10" s="17">
        <v>64536.494400000003</v>
      </c>
      <c r="I10" s="18">
        <v>5937357.4848000007</v>
      </c>
      <c r="J10" s="18">
        <v>5.45</v>
      </c>
      <c r="K10" s="24">
        <v>5.9240000000000001E-2</v>
      </c>
      <c r="L10" s="25">
        <v>267170.40000000002</v>
      </c>
      <c r="M10" s="18">
        <v>15827.17</v>
      </c>
      <c r="N10" s="18">
        <v>1456099.64</v>
      </c>
      <c r="O10" s="18">
        <v>5135</v>
      </c>
      <c r="P10" s="26">
        <v>85498.664400000009</v>
      </c>
      <c r="Q10" s="27">
        <v>22724</v>
      </c>
      <c r="R10" s="27">
        <v>1482300</v>
      </c>
      <c r="S10" s="28">
        <v>11315.267</v>
      </c>
      <c r="T10" s="29">
        <v>170900</v>
      </c>
      <c r="U10" s="16">
        <v>1304.5802000000001</v>
      </c>
      <c r="V10" s="29">
        <v>35040</v>
      </c>
      <c r="W10" s="16">
        <v>267.48090000000002</v>
      </c>
      <c r="X10" s="16"/>
      <c r="Y10" s="16">
        <v>0</v>
      </c>
      <c r="Z10" s="16">
        <v>3468528</v>
      </c>
      <c r="AA10" s="16">
        <v>26477.312999999998</v>
      </c>
      <c r="AB10" s="16">
        <v>805800</v>
      </c>
      <c r="AC10" s="16">
        <v>6151.1450000000004</v>
      </c>
      <c r="AD10" s="37">
        <v>45515.786099999998</v>
      </c>
      <c r="AE10" s="37">
        <v>131014.45050000001</v>
      </c>
      <c r="AF10" s="16">
        <v>217695.54965</v>
      </c>
      <c r="AG10" s="16">
        <v>152885.42418167941</v>
      </c>
      <c r="AH10" s="36">
        <v>12206214.869999999</v>
      </c>
      <c r="AI10" s="16">
        <v>19010147.879999999</v>
      </c>
    </row>
    <row r="11" spans="1:35" ht="48.75" customHeight="1" x14ac:dyDescent="0.25">
      <c r="A11" s="126"/>
      <c r="B11" s="13" t="s">
        <v>27</v>
      </c>
      <c r="C11" s="16">
        <v>2</v>
      </c>
      <c r="D11" s="16">
        <v>39</v>
      </c>
      <c r="E11" s="16">
        <v>7.5</v>
      </c>
      <c r="F11" s="16">
        <v>0.19231000000000001</v>
      </c>
      <c r="G11" s="21">
        <v>593712</v>
      </c>
      <c r="H11" s="17">
        <v>114176.7547</v>
      </c>
      <c r="I11" s="18">
        <v>4452893.4333000006</v>
      </c>
      <c r="J11" s="18">
        <v>1.1499999999999999</v>
      </c>
      <c r="K11" s="24">
        <v>2.9489999999999999E-2</v>
      </c>
      <c r="L11" s="25">
        <v>267170.40000000002</v>
      </c>
      <c r="M11" s="18">
        <v>7878.86</v>
      </c>
      <c r="N11" s="18">
        <v>307275.53999999998</v>
      </c>
      <c r="O11" s="18">
        <v>5135</v>
      </c>
      <c r="P11" s="26">
        <v>127190.61470000001</v>
      </c>
      <c r="Q11" s="27">
        <v>9633</v>
      </c>
      <c r="R11" s="27"/>
      <c r="S11" s="28">
        <v>11406.888999999999</v>
      </c>
      <c r="T11" s="31"/>
      <c r="U11" s="16">
        <v>1304.5802000000001</v>
      </c>
      <c r="V11" s="31"/>
      <c r="W11" s="16">
        <v>267.48090000000002</v>
      </c>
      <c r="X11" s="16"/>
      <c r="Y11" s="16">
        <v>0</v>
      </c>
      <c r="Z11" s="16"/>
      <c r="AA11" s="16">
        <v>26477.312999999998</v>
      </c>
      <c r="AB11" s="16"/>
      <c r="AC11" s="16">
        <v>6151.1450000000004</v>
      </c>
      <c r="AD11" s="37">
        <v>45607.408100000001</v>
      </c>
      <c r="AE11" s="37">
        <v>172798.02280000001</v>
      </c>
      <c r="AF11" s="16"/>
      <c r="AG11" s="16">
        <v>64810.125468320613</v>
      </c>
      <c r="AH11" s="36">
        <v>6803933.0099999998</v>
      </c>
      <c r="AI11" s="16"/>
    </row>
    <row r="12" spans="1:35" ht="48" customHeight="1" x14ac:dyDescent="0.25">
      <c r="A12" s="14" t="s">
        <v>5</v>
      </c>
      <c r="B12" s="13" t="s">
        <v>26</v>
      </c>
      <c r="C12" s="19">
        <v>3</v>
      </c>
      <c r="D12" s="16">
        <v>60</v>
      </c>
      <c r="E12" s="16">
        <v>6.25</v>
      </c>
      <c r="F12" s="16">
        <v>0.10417</v>
      </c>
      <c r="G12" s="21">
        <v>593712</v>
      </c>
      <c r="H12" s="17">
        <v>61846.978999999999</v>
      </c>
      <c r="I12" s="18">
        <v>3710818.7399999998</v>
      </c>
      <c r="J12" s="16">
        <v>3</v>
      </c>
      <c r="K12" s="24">
        <v>0.05</v>
      </c>
      <c r="L12" s="25">
        <v>267170.40000000002</v>
      </c>
      <c r="M12" s="18">
        <v>13358.52</v>
      </c>
      <c r="N12" s="18">
        <v>801511.2</v>
      </c>
      <c r="O12" s="18">
        <v>5135</v>
      </c>
      <c r="P12" s="26">
        <v>80340.498999999996</v>
      </c>
      <c r="Q12" s="27">
        <v>14820</v>
      </c>
      <c r="R12" s="27">
        <v>1200399.9999999998</v>
      </c>
      <c r="S12" s="28">
        <v>20006.667000000001</v>
      </c>
      <c r="T12" s="29">
        <v>85920</v>
      </c>
      <c r="U12" s="16">
        <v>1432</v>
      </c>
      <c r="V12" s="29">
        <v>27000</v>
      </c>
      <c r="W12" s="16">
        <v>450</v>
      </c>
      <c r="X12" s="16"/>
      <c r="Y12" s="16">
        <v>0</v>
      </c>
      <c r="Z12" s="16">
        <v>3055273.2</v>
      </c>
      <c r="AA12" s="16">
        <v>50921.22</v>
      </c>
      <c r="AB12" s="16">
        <v>476109</v>
      </c>
      <c r="AC12" s="16">
        <v>7935.15</v>
      </c>
      <c r="AD12" s="37">
        <v>80745.036999999997</v>
      </c>
      <c r="AE12" s="37">
        <v>161085.53599999999</v>
      </c>
      <c r="AF12" s="16">
        <v>80431.33504999998</v>
      </c>
      <c r="AG12" s="16">
        <v>80431.33504999998</v>
      </c>
      <c r="AH12" s="36">
        <v>9745563.5</v>
      </c>
      <c r="AI12" s="16">
        <v>9745563.5</v>
      </c>
    </row>
    <row r="13" spans="1:35" ht="48" customHeight="1" x14ac:dyDescent="0.25">
      <c r="A13" s="111" t="s">
        <v>6</v>
      </c>
      <c r="B13" s="13" t="s">
        <v>26</v>
      </c>
      <c r="C13" s="19">
        <v>5</v>
      </c>
      <c r="D13" s="16">
        <v>125</v>
      </c>
      <c r="E13" s="16">
        <v>11.8</v>
      </c>
      <c r="F13" s="16">
        <v>9.4399999999999998E-2</v>
      </c>
      <c r="G13" s="21">
        <v>593712</v>
      </c>
      <c r="H13" s="17">
        <v>56046.412799999998</v>
      </c>
      <c r="I13" s="18">
        <v>7005801.5999999996</v>
      </c>
      <c r="J13" s="16">
        <v>5.25</v>
      </c>
      <c r="K13" s="24">
        <v>4.2000000000000003E-2</v>
      </c>
      <c r="L13" s="25">
        <v>267170.40000000002</v>
      </c>
      <c r="M13" s="18">
        <v>11221.16</v>
      </c>
      <c r="N13" s="18">
        <v>1402645</v>
      </c>
      <c r="O13" s="18">
        <v>5135</v>
      </c>
      <c r="P13" s="26">
        <v>72402.572799999994</v>
      </c>
      <c r="Q13" s="27">
        <v>30875</v>
      </c>
      <c r="R13" s="27">
        <v>1845299.9999999998</v>
      </c>
      <c r="S13" s="28">
        <v>13180.714</v>
      </c>
      <c r="T13" s="29">
        <v>158600</v>
      </c>
      <c r="U13" s="16">
        <v>1132.8570999999999</v>
      </c>
      <c r="V13" s="29">
        <v>45000</v>
      </c>
      <c r="W13" s="16">
        <v>321.42860000000002</v>
      </c>
      <c r="X13" s="16"/>
      <c r="Y13" s="16">
        <v>0</v>
      </c>
      <c r="Z13" s="16">
        <v>4443465.5999999996</v>
      </c>
      <c r="AA13" s="16">
        <v>31739.040000000001</v>
      </c>
      <c r="AB13" s="16">
        <v>999000</v>
      </c>
      <c r="AC13" s="16">
        <v>7135.7139999999999</v>
      </c>
      <c r="AD13" s="37">
        <v>53509.753700000001</v>
      </c>
      <c r="AE13" s="37">
        <v>125912.3265</v>
      </c>
      <c r="AF13" s="16">
        <v>98600.228399999993</v>
      </c>
      <c r="AG13" s="16">
        <v>88035.918214285703</v>
      </c>
      <c r="AH13" s="36">
        <v>15827076.73</v>
      </c>
      <c r="AI13" s="16">
        <v>18805707.600000001</v>
      </c>
    </row>
    <row r="14" spans="1:35" ht="48" customHeight="1" x14ac:dyDescent="0.25">
      <c r="A14" s="112"/>
      <c r="B14" s="13" t="s">
        <v>27</v>
      </c>
      <c r="C14" s="19">
        <v>1</v>
      </c>
      <c r="D14" s="16">
        <v>15</v>
      </c>
      <c r="E14" s="16">
        <v>3</v>
      </c>
      <c r="F14" s="16">
        <v>0.2</v>
      </c>
      <c r="G14" s="21">
        <v>593712</v>
      </c>
      <c r="H14" s="17">
        <v>118742.39999999999</v>
      </c>
      <c r="I14" s="18">
        <v>1781136</v>
      </c>
      <c r="J14" s="16">
        <v>1.1499999999999999</v>
      </c>
      <c r="K14" s="24">
        <v>7.6670000000000002E-2</v>
      </c>
      <c r="L14" s="25">
        <v>267170.40000000002</v>
      </c>
      <c r="M14" s="18">
        <v>20483.95</v>
      </c>
      <c r="N14" s="18">
        <v>307259.25</v>
      </c>
      <c r="O14" s="18">
        <v>5135</v>
      </c>
      <c r="P14" s="26">
        <v>144361.35</v>
      </c>
      <c r="Q14" s="27">
        <v>3705</v>
      </c>
      <c r="R14" s="27"/>
      <c r="S14" s="28">
        <v>13180.714</v>
      </c>
      <c r="T14" s="29"/>
      <c r="U14" s="16">
        <v>1132.8570999999999</v>
      </c>
      <c r="V14" s="29"/>
      <c r="W14" s="16">
        <v>321.42860000000002</v>
      </c>
      <c r="X14" s="16"/>
      <c r="Y14" s="16">
        <v>0</v>
      </c>
      <c r="Z14" s="16"/>
      <c r="AA14" s="16">
        <v>31739.040000000001</v>
      </c>
      <c r="AB14" s="16"/>
      <c r="AC14" s="16">
        <v>7135.7139999999999</v>
      </c>
      <c r="AD14" s="37">
        <v>53509.753700000001</v>
      </c>
      <c r="AE14" s="37">
        <v>197871.10370000001</v>
      </c>
      <c r="AF14" s="16"/>
      <c r="AG14" s="16">
        <v>10564.310185714285</v>
      </c>
      <c r="AH14" s="36">
        <v>2978630.87</v>
      </c>
      <c r="AI14" s="16"/>
    </row>
    <row r="15" spans="1:35" ht="48.75" customHeight="1" x14ac:dyDescent="0.25">
      <c r="A15" s="111" t="s">
        <v>7</v>
      </c>
      <c r="B15" s="13" t="s">
        <v>26</v>
      </c>
      <c r="C15" s="19">
        <v>4</v>
      </c>
      <c r="D15" s="16">
        <v>74</v>
      </c>
      <c r="E15" s="16">
        <v>9.6999999999999993</v>
      </c>
      <c r="F15" s="16">
        <v>0.13108</v>
      </c>
      <c r="G15" s="21">
        <v>593712</v>
      </c>
      <c r="H15" s="17">
        <v>77823.769</v>
      </c>
      <c r="I15" s="18">
        <v>5758958.9060000004</v>
      </c>
      <c r="J15" s="16">
        <v>4.7</v>
      </c>
      <c r="K15" s="24">
        <v>6.3509999999999997E-2</v>
      </c>
      <c r="L15" s="25">
        <v>267170.40000000002</v>
      </c>
      <c r="M15" s="18">
        <v>16967.990000000002</v>
      </c>
      <c r="N15" s="18">
        <v>1255631.26</v>
      </c>
      <c r="O15" s="18">
        <v>5135</v>
      </c>
      <c r="P15" s="26">
        <v>99926.759000000005</v>
      </c>
      <c r="Q15" s="27">
        <v>18278</v>
      </c>
      <c r="R15" s="27">
        <v>1696700.0000000002</v>
      </c>
      <c r="S15" s="28">
        <v>18442.391</v>
      </c>
      <c r="T15" s="29">
        <v>334600</v>
      </c>
      <c r="U15" s="16">
        <v>3636.9564999999998</v>
      </c>
      <c r="V15" s="29">
        <v>30000</v>
      </c>
      <c r="W15" s="16">
        <v>326.08699999999999</v>
      </c>
      <c r="X15" s="16"/>
      <c r="Y15" s="16">
        <v>0</v>
      </c>
      <c r="Z15" s="16">
        <v>4009118.4</v>
      </c>
      <c r="AA15" s="16">
        <v>43577.374000000003</v>
      </c>
      <c r="AB15" s="16">
        <v>657600</v>
      </c>
      <c r="AC15" s="16">
        <v>7147.826</v>
      </c>
      <c r="AD15" s="37">
        <v>73130.6345</v>
      </c>
      <c r="AE15" s="37">
        <v>173057.39350000001</v>
      </c>
      <c r="AF15" s="16">
        <v>647842.87620000006</v>
      </c>
      <c r="AG15" s="16">
        <v>521091.00911739131</v>
      </c>
      <c r="AH15" s="36">
        <v>13327338.130000001</v>
      </c>
      <c r="AI15" s="16">
        <v>19900513.59</v>
      </c>
    </row>
    <row r="16" spans="1:35" ht="36" x14ac:dyDescent="0.25">
      <c r="A16" s="112"/>
      <c r="B16" s="13" t="s">
        <v>27</v>
      </c>
      <c r="C16" s="16">
        <v>2</v>
      </c>
      <c r="D16" s="16">
        <v>18</v>
      </c>
      <c r="E16" s="16">
        <v>7</v>
      </c>
      <c r="F16" s="16">
        <v>0.38889000000000001</v>
      </c>
      <c r="G16" s="21">
        <v>593712</v>
      </c>
      <c r="H16" s="17">
        <v>230888.65969999999</v>
      </c>
      <c r="I16" s="18">
        <v>4155995.8745999997</v>
      </c>
      <c r="J16" s="16">
        <v>3.3</v>
      </c>
      <c r="K16" s="24">
        <v>0.18332999999999999</v>
      </c>
      <c r="L16" s="25">
        <v>267170.40000000002</v>
      </c>
      <c r="M16" s="18">
        <v>48980.35</v>
      </c>
      <c r="N16" s="18">
        <v>881646.3</v>
      </c>
      <c r="O16" s="18">
        <v>5135</v>
      </c>
      <c r="P16" s="26">
        <v>285004.0097</v>
      </c>
      <c r="Q16" s="27">
        <v>4446</v>
      </c>
      <c r="R16" s="27"/>
      <c r="S16" s="28">
        <v>18442.391</v>
      </c>
      <c r="T16" s="31"/>
      <c r="U16" s="16">
        <v>3636.9564999999998</v>
      </c>
      <c r="V16" s="31"/>
      <c r="W16" s="16">
        <v>326.08699999999999</v>
      </c>
      <c r="X16" s="16"/>
      <c r="Y16" s="16">
        <v>0</v>
      </c>
      <c r="Z16" s="16"/>
      <c r="AA16" s="16">
        <v>43577.374000000003</v>
      </c>
      <c r="AB16" s="16"/>
      <c r="AC16" s="16">
        <v>7147.826</v>
      </c>
      <c r="AD16" s="37">
        <v>73130.6345</v>
      </c>
      <c r="AE16" s="37">
        <v>358134.64419999998</v>
      </c>
      <c r="AF16" s="16"/>
      <c r="AG16" s="16">
        <v>126751.8670826087</v>
      </c>
      <c r="AH16" s="36">
        <v>6573175.46</v>
      </c>
      <c r="AI16" s="16"/>
    </row>
    <row r="17" spans="1:35" ht="48" customHeight="1" x14ac:dyDescent="0.25">
      <c r="A17" s="126" t="s">
        <v>8</v>
      </c>
      <c r="B17" s="13" t="s">
        <v>26</v>
      </c>
      <c r="C17" s="19">
        <v>8</v>
      </c>
      <c r="D17" s="16">
        <v>139</v>
      </c>
      <c r="E17" s="16">
        <v>16.649999999999999</v>
      </c>
      <c r="F17" s="16">
        <v>0.11978</v>
      </c>
      <c r="G17" s="21">
        <v>593712</v>
      </c>
      <c r="H17" s="17">
        <v>71114.823399999994</v>
      </c>
      <c r="I17" s="18">
        <v>9884960.4525999986</v>
      </c>
      <c r="J17" s="16">
        <v>8.6999999999999993</v>
      </c>
      <c r="K17" s="24">
        <v>6.2590000000000007E-2</v>
      </c>
      <c r="L17" s="25">
        <v>267170.40000000002</v>
      </c>
      <c r="M17" s="18">
        <v>16722.2</v>
      </c>
      <c r="N17" s="18">
        <v>2324385.7999999998</v>
      </c>
      <c r="O17" s="18">
        <v>5135</v>
      </c>
      <c r="P17" s="26">
        <v>92972.023399999991</v>
      </c>
      <c r="Q17" s="27">
        <v>34333</v>
      </c>
      <c r="R17" s="27">
        <v>2285500.0000000005</v>
      </c>
      <c r="S17" s="28">
        <v>12697.222</v>
      </c>
      <c r="T17" s="29">
        <v>218405</v>
      </c>
      <c r="U17" s="16">
        <v>1213.3611000000001</v>
      </c>
      <c r="V17" s="29">
        <v>32640</v>
      </c>
      <c r="W17" s="16">
        <v>181.33330000000001</v>
      </c>
      <c r="X17" s="16"/>
      <c r="Y17" s="16">
        <v>0</v>
      </c>
      <c r="Z17" s="16">
        <v>5217634.8</v>
      </c>
      <c r="AA17" s="16">
        <v>28986.86</v>
      </c>
      <c r="AB17" s="16">
        <v>1181884</v>
      </c>
      <c r="AC17" s="16">
        <v>6566.0219999999999</v>
      </c>
      <c r="AD17" s="37">
        <v>49644.7984</v>
      </c>
      <c r="AE17" s="37">
        <v>142616.82179999998</v>
      </c>
      <c r="AF17" s="16">
        <v>249852.57480000003</v>
      </c>
      <c r="AG17" s="16">
        <v>192941.71054</v>
      </c>
      <c r="AH17" s="36">
        <v>20016679.940000001</v>
      </c>
      <c r="AI17" s="16">
        <v>29475375.900000002</v>
      </c>
    </row>
    <row r="18" spans="1:35" ht="51" customHeight="1" x14ac:dyDescent="0.25">
      <c r="A18" s="126"/>
      <c r="B18" s="13" t="s">
        <v>27</v>
      </c>
      <c r="C18" s="16">
        <v>3</v>
      </c>
      <c r="D18" s="16">
        <v>41</v>
      </c>
      <c r="E18" s="16">
        <v>10.5</v>
      </c>
      <c r="F18" s="16">
        <v>0.25609999999999999</v>
      </c>
      <c r="G18" s="21">
        <v>593712</v>
      </c>
      <c r="H18" s="17">
        <v>152049.64319999999</v>
      </c>
      <c r="I18" s="18">
        <v>6234035.3711999999</v>
      </c>
      <c r="J18" s="16">
        <v>3.45</v>
      </c>
      <c r="K18" s="24">
        <v>8.4150000000000003E-2</v>
      </c>
      <c r="L18" s="25">
        <v>267170.40000000002</v>
      </c>
      <c r="M18" s="18">
        <v>22482.39</v>
      </c>
      <c r="N18" s="18">
        <v>921777.99</v>
      </c>
      <c r="O18" s="18">
        <v>5135</v>
      </c>
      <c r="P18" s="26">
        <v>179667.03320000001</v>
      </c>
      <c r="Q18" s="27">
        <v>10127</v>
      </c>
      <c r="R18" s="27"/>
      <c r="S18" s="28">
        <v>12697.222</v>
      </c>
      <c r="T18" s="31"/>
      <c r="U18" s="16">
        <v>1213.3611000000001</v>
      </c>
      <c r="V18" s="31"/>
      <c r="W18" s="16">
        <v>181.33330000000001</v>
      </c>
      <c r="X18" s="16"/>
      <c r="Y18" s="16">
        <v>0</v>
      </c>
      <c r="Z18" s="16"/>
      <c r="AA18" s="16">
        <v>28986.86</v>
      </c>
      <c r="AB18" s="16"/>
      <c r="AC18" s="16">
        <v>6566.0219999999999</v>
      </c>
      <c r="AD18" s="37">
        <v>49644.7984</v>
      </c>
      <c r="AE18" s="37">
        <v>229311.8316</v>
      </c>
      <c r="AF18" s="16"/>
      <c r="AG18" s="16">
        <v>56910.864260000002</v>
      </c>
      <c r="AH18" s="36">
        <v>9458695.9600000009</v>
      </c>
      <c r="AI18" s="16"/>
    </row>
    <row r="19" spans="1:35" ht="56.25" customHeight="1" x14ac:dyDescent="0.25">
      <c r="A19" s="111" t="s">
        <v>9</v>
      </c>
      <c r="B19" s="13" t="s">
        <v>26</v>
      </c>
      <c r="C19" s="19">
        <v>5</v>
      </c>
      <c r="D19" s="16">
        <v>108</v>
      </c>
      <c r="E19" s="16">
        <v>12.05</v>
      </c>
      <c r="F19" s="16">
        <v>0.11157</v>
      </c>
      <c r="G19" s="21">
        <v>593712</v>
      </c>
      <c r="H19" s="17">
        <v>66240.447799999994</v>
      </c>
      <c r="I19" s="18">
        <v>7153968.3623999991</v>
      </c>
      <c r="J19" s="16">
        <v>5.95</v>
      </c>
      <c r="K19" s="24">
        <v>5.509E-2</v>
      </c>
      <c r="L19" s="25">
        <v>267170.40000000002</v>
      </c>
      <c r="M19" s="18">
        <v>14718.42</v>
      </c>
      <c r="N19" s="18">
        <v>1589589.36</v>
      </c>
      <c r="O19" s="18">
        <v>5135</v>
      </c>
      <c r="P19" s="26">
        <v>86093.867799999993</v>
      </c>
      <c r="Q19" s="27">
        <v>26676</v>
      </c>
      <c r="R19" s="27">
        <v>1579300</v>
      </c>
      <c r="S19" s="28">
        <v>12338.281000000001</v>
      </c>
      <c r="T19" s="29">
        <v>123000</v>
      </c>
      <c r="U19" s="16">
        <v>960.9375</v>
      </c>
      <c r="V19" s="29">
        <v>43200</v>
      </c>
      <c r="W19" s="16">
        <v>337.5</v>
      </c>
      <c r="X19" s="16"/>
      <c r="Y19" s="16">
        <v>0</v>
      </c>
      <c r="Z19" s="16">
        <v>3903396</v>
      </c>
      <c r="AA19" s="16">
        <v>30495.280999999999</v>
      </c>
      <c r="AB19" s="16">
        <v>750000</v>
      </c>
      <c r="AC19" s="16">
        <v>5859.375</v>
      </c>
      <c r="AD19" s="37">
        <v>49991.374499999998</v>
      </c>
      <c r="AE19" s="37">
        <v>136085.24229999998</v>
      </c>
      <c r="AF19" s="16">
        <v>117419.966</v>
      </c>
      <c r="AG19" s="16">
        <v>99073.096312499998</v>
      </c>
      <c r="AH19" s="36">
        <v>14796279.26</v>
      </c>
      <c r="AI19" s="16">
        <v>18153963.620000001</v>
      </c>
    </row>
    <row r="20" spans="1:35" ht="56.25" customHeight="1" x14ac:dyDescent="0.25">
      <c r="A20" s="112"/>
      <c r="B20" s="13" t="s">
        <v>27</v>
      </c>
      <c r="C20" s="19">
        <v>1</v>
      </c>
      <c r="D20" s="16">
        <v>20</v>
      </c>
      <c r="E20" s="16">
        <v>3.25</v>
      </c>
      <c r="F20" s="16">
        <v>0.16250000000000001</v>
      </c>
      <c r="G20" s="21">
        <v>593712</v>
      </c>
      <c r="H20" s="17">
        <v>96478.2</v>
      </c>
      <c r="I20" s="18">
        <v>1929564</v>
      </c>
      <c r="J20" s="16">
        <v>1.1499999999999999</v>
      </c>
      <c r="K20" s="24">
        <v>5.7500000000000002E-2</v>
      </c>
      <c r="L20" s="25">
        <v>267170.40000000002</v>
      </c>
      <c r="M20" s="18">
        <v>15362.3</v>
      </c>
      <c r="N20" s="18">
        <v>307246</v>
      </c>
      <c r="O20" s="18">
        <v>5135</v>
      </c>
      <c r="P20" s="26">
        <v>116975.5</v>
      </c>
      <c r="Q20" s="27">
        <v>4940</v>
      </c>
      <c r="R20" s="27"/>
      <c r="S20" s="28">
        <v>12338.281000000001</v>
      </c>
      <c r="T20" s="29"/>
      <c r="U20" s="16">
        <v>960.9375</v>
      </c>
      <c r="V20" s="29"/>
      <c r="W20" s="16">
        <v>337.5</v>
      </c>
      <c r="X20" s="16"/>
      <c r="Y20" s="16">
        <v>0</v>
      </c>
      <c r="Z20" s="16"/>
      <c r="AA20" s="16">
        <v>30495.280999999999</v>
      </c>
      <c r="AB20" s="16"/>
      <c r="AC20" s="16">
        <v>5859.375</v>
      </c>
      <c r="AD20" s="37">
        <v>49991.374499999998</v>
      </c>
      <c r="AE20" s="37">
        <v>166966.87450000001</v>
      </c>
      <c r="AF20" s="16"/>
      <c r="AG20" s="16">
        <v>18346.869687499999</v>
      </c>
      <c r="AH20" s="36">
        <v>3357684.36</v>
      </c>
      <c r="AI20" s="16"/>
    </row>
    <row r="21" spans="1:35" ht="51" customHeight="1" x14ac:dyDescent="0.25">
      <c r="A21" s="14" t="s">
        <v>10</v>
      </c>
      <c r="B21" s="13" t="s">
        <v>26</v>
      </c>
      <c r="C21" s="19">
        <v>6</v>
      </c>
      <c r="D21" s="16">
        <v>125</v>
      </c>
      <c r="E21" s="16">
        <v>13.5</v>
      </c>
      <c r="F21" s="16">
        <v>0.108</v>
      </c>
      <c r="G21" s="21">
        <v>593712</v>
      </c>
      <c r="H21" s="17">
        <v>64120.896000000001</v>
      </c>
      <c r="I21" s="18">
        <v>8015112</v>
      </c>
      <c r="J21" s="16">
        <v>7</v>
      </c>
      <c r="K21" s="24">
        <v>5.6000000000000001E-2</v>
      </c>
      <c r="L21" s="25">
        <v>267170.40000000002</v>
      </c>
      <c r="M21" s="18">
        <v>14961.54</v>
      </c>
      <c r="N21" s="18">
        <v>1870192.5</v>
      </c>
      <c r="O21" s="18">
        <v>5135</v>
      </c>
      <c r="P21" s="26">
        <v>84217.436000000002</v>
      </c>
      <c r="Q21" s="27">
        <v>30875</v>
      </c>
      <c r="R21" s="27">
        <v>1731100</v>
      </c>
      <c r="S21" s="28">
        <v>13848.8</v>
      </c>
      <c r="T21" s="29">
        <v>183600</v>
      </c>
      <c r="U21" s="16">
        <v>1468.8</v>
      </c>
      <c r="V21" s="29">
        <v>42000</v>
      </c>
      <c r="W21" s="16">
        <v>336</v>
      </c>
      <c r="X21" s="16"/>
      <c r="Y21" s="16">
        <v>0</v>
      </c>
      <c r="Z21" s="16">
        <v>4993821</v>
      </c>
      <c r="AA21" s="16">
        <v>39950.567999999999</v>
      </c>
      <c r="AB21" s="16">
        <v>920900</v>
      </c>
      <c r="AC21" s="16">
        <v>7367.2</v>
      </c>
      <c r="AD21" s="37">
        <v>62971.367999999995</v>
      </c>
      <c r="AE21" s="37">
        <v>147188.804</v>
      </c>
      <c r="AF21" s="16">
        <v>153548.3161</v>
      </c>
      <c r="AG21" s="16">
        <v>153548.3161</v>
      </c>
      <c r="AH21" s="36">
        <v>18552148.82</v>
      </c>
      <c r="AI21" s="16">
        <v>18552148.82</v>
      </c>
    </row>
    <row r="22" spans="1:35" ht="46.5" customHeight="1" x14ac:dyDescent="0.25">
      <c r="A22" s="111" t="s">
        <v>11</v>
      </c>
      <c r="B22" s="13" t="s">
        <v>26</v>
      </c>
      <c r="C22" s="19">
        <v>7</v>
      </c>
      <c r="D22" s="16">
        <v>138</v>
      </c>
      <c r="E22" s="16">
        <v>16.2</v>
      </c>
      <c r="F22" s="16">
        <v>0.11738999999999999</v>
      </c>
      <c r="G22" s="21">
        <v>593712</v>
      </c>
      <c r="H22" s="17">
        <v>69695.851699999999</v>
      </c>
      <c r="I22" s="18">
        <v>9618027.5346000008</v>
      </c>
      <c r="J22" s="16">
        <v>9.5500000000000007</v>
      </c>
      <c r="K22" s="24">
        <v>6.9199999999999998E-2</v>
      </c>
      <c r="L22" s="25">
        <v>267170.40000000002</v>
      </c>
      <c r="M22" s="18">
        <v>18488.189999999999</v>
      </c>
      <c r="N22" s="18">
        <v>2551370.2200000002</v>
      </c>
      <c r="O22" s="18">
        <v>5135</v>
      </c>
      <c r="P22" s="26">
        <v>93319.041700000002</v>
      </c>
      <c r="Q22" s="27">
        <v>34086</v>
      </c>
      <c r="R22" s="27">
        <v>2761600.0000000005</v>
      </c>
      <c r="S22" s="28">
        <v>14534.736999999999</v>
      </c>
      <c r="T22" s="29">
        <v>136000</v>
      </c>
      <c r="U22" s="16">
        <v>715.78949999999998</v>
      </c>
      <c r="V22" s="29">
        <v>45600</v>
      </c>
      <c r="W22" s="16">
        <v>240</v>
      </c>
      <c r="X22" s="16"/>
      <c r="Y22" s="16">
        <v>0</v>
      </c>
      <c r="Z22" s="16">
        <v>7193940.5999999996</v>
      </c>
      <c r="AA22" s="16">
        <v>37862.845000000001</v>
      </c>
      <c r="AB22" s="16">
        <v>1207600</v>
      </c>
      <c r="AC22" s="16">
        <v>6355.7889999999998</v>
      </c>
      <c r="AD22" s="37">
        <v>59709.160499999998</v>
      </c>
      <c r="AE22" s="37">
        <v>153028.2022</v>
      </c>
      <c r="AF22" s="16">
        <v>347165.1925</v>
      </c>
      <c r="AG22" s="16">
        <v>252151.56086842105</v>
      </c>
      <c r="AH22" s="36">
        <v>21370043.460000001</v>
      </c>
      <c r="AI22" s="16">
        <v>33706934.359999999</v>
      </c>
    </row>
    <row r="23" spans="1:35" ht="48.75" customHeight="1" x14ac:dyDescent="0.25">
      <c r="A23" s="128"/>
      <c r="B23" s="13" t="s">
        <v>27</v>
      </c>
      <c r="C23" s="16">
        <v>3</v>
      </c>
      <c r="D23" s="16">
        <v>45</v>
      </c>
      <c r="E23" s="16">
        <v>10.5</v>
      </c>
      <c r="F23" s="16">
        <v>0.23333000000000001</v>
      </c>
      <c r="G23" s="21">
        <v>593712</v>
      </c>
      <c r="H23" s="17">
        <v>138530.821</v>
      </c>
      <c r="I23" s="18">
        <v>6233886.9450000003</v>
      </c>
      <c r="J23" s="16">
        <v>2.2000000000000002</v>
      </c>
      <c r="K23" s="24">
        <v>4.8890000000000003E-2</v>
      </c>
      <c r="L23" s="25">
        <v>267170.40000000002</v>
      </c>
      <c r="M23" s="18">
        <v>13061.96</v>
      </c>
      <c r="N23" s="18">
        <v>587788.19999999995</v>
      </c>
      <c r="O23" s="18">
        <v>5135</v>
      </c>
      <c r="P23" s="26">
        <v>156727.78099999999</v>
      </c>
      <c r="Q23" s="27">
        <v>11115</v>
      </c>
      <c r="R23" s="27"/>
      <c r="S23" s="28">
        <v>14534.736999999999</v>
      </c>
      <c r="T23" s="31"/>
      <c r="U23" s="16">
        <v>715.78949999999998</v>
      </c>
      <c r="V23" s="31"/>
      <c r="W23" s="16">
        <v>240</v>
      </c>
      <c r="X23" s="16"/>
      <c r="Y23" s="16">
        <v>0</v>
      </c>
      <c r="Z23" s="16"/>
      <c r="AA23" s="16">
        <v>37862.845000000001</v>
      </c>
      <c r="AB23" s="16"/>
      <c r="AC23" s="16">
        <v>6355.7889999999998</v>
      </c>
      <c r="AD23" s="37">
        <v>59709.160499999998</v>
      </c>
      <c r="AE23" s="37">
        <v>216436.94149999999</v>
      </c>
      <c r="AF23" s="16"/>
      <c r="AG23" s="16">
        <v>82223.335065789477</v>
      </c>
      <c r="AH23" s="36">
        <v>9821885.6999999993</v>
      </c>
      <c r="AI23" s="16"/>
    </row>
    <row r="24" spans="1:35" ht="48.75" customHeight="1" x14ac:dyDescent="0.25">
      <c r="A24" s="112"/>
      <c r="B24" s="13" t="s">
        <v>27</v>
      </c>
      <c r="C24" s="16">
        <v>1</v>
      </c>
      <c r="D24" s="16">
        <v>7</v>
      </c>
      <c r="E24" s="16">
        <v>3</v>
      </c>
      <c r="F24" s="16">
        <v>0.42857000000000001</v>
      </c>
      <c r="G24" s="21">
        <v>593712</v>
      </c>
      <c r="H24" s="17">
        <v>254447.15179999999</v>
      </c>
      <c r="I24" s="18">
        <v>1781130.0625999998</v>
      </c>
      <c r="J24" s="16">
        <v>1</v>
      </c>
      <c r="K24" s="24">
        <v>0.14285999999999999</v>
      </c>
      <c r="L24" s="25">
        <v>267170.40000000002</v>
      </c>
      <c r="M24" s="18">
        <v>38167.96</v>
      </c>
      <c r="N24" s="18">
        <v>267175.71999999997</v>
      </c>
      <c r="O24" s="18">
        <v>5135</v>
      </c>
      <c r="P24" s="26">
        <v>297750.11180000001</v>
      </c>
      <c r="Q24" s="27">
        <v>1729</v>
      </c>
      <c r="R24" s="27"/>
      <c r="S24" s="28">
        <v>14534.736999999999</v>
      </c>
      <c r="T24" s="31"/>
      <c r="U24" s="16">
        <v>715.78949999999998</v>
      </c>
      <c r="V24" s="31"/>
      <c r="W24" s="16">
        <v>240</v>
      </c>
      <c r="X24" s="16"/>
      <c r="Y24" s="16"/>
      <c r="Z24" s="16"/>
      <c r="AA24" s="16">
        <v>37862.845000000001</v>
      </c>
      <c r="AB24" s="16"/>
      <c r="AC24" s="16">
        <v>6355.7889999999998</v>
      </c>
      <c r="AD24" s="37">
        <v>59709.160499999998</v>
      </c>
      <c r="AE24" s="37">
        <v>357459.27230000001</v>
      </c>
      <c r="AF24" s="16"/>
      <c r="AG24" s="16">
        <v>12790.296565789475</v>
      </c>
      <c r="AH24" s="36">
        <v>2515005.2000000002</v>
      </c>
      <c r="AI24" s="16"/>
    </row>
    <row r="25" spans="1:35" ht="36" x14ac:dyDescent="0.25">
      <c r="A25" s="126" t="s">
        <v>12</v>
      </c>
      <c r="B25" s="13" t="s">
        <v>26</v>
      </c>
      <c r="C25" s="16">
        <v>3.7</v>
      </c>
      <c r="D25" s="20">
        <v>77</v>
      </c>
      <c r="E25" s="16">
        <v>10</v>
      </c>
      <c r="F25" s="16">
        <v>0.12987000000000001</v>
      </c>
      <c r="G25" s="21">
        <v>593712</v>
      </c>
      <c r="H25" s="17">
        <v>77105.377399999998</v>
      </c>
      <c r="I25" s="18">
        <v>5937114.0597999999</v>
      </c>
      <c r="J25" s="16">
        <v>5.7</v>
      </c>
      <c r="K25" s="24">
        <v>7.4029999999999999E-2</v>
      </c>
      <c r="L25" s="25">
        <v>267170.40000000002</v>
      </c>
      <c r="M25" s="18">
        <v>19778.62</v>
      </c>
      <c r="N25" s="18">
        <v>1522953.74</v>
      </c>
      <c r="O25" s="18">
        <v>5135</v>
      </c>
      <c r="P25" s="26">
        <v>102018.99739999999</v>
      </c>
      <c r="Q25" s="27">
        <v>19019</v>
      </c>
      <c r="R25" s="27">
        <v>1957300</v>
      </c>
      <c r="S25" s="28">
        <v>19573</v>
      </c>
      <c r="T25" s="29">
        <v>316460</v>
      </c>
      <c r="U25" s="16">
        <v>3164.6</v>
      </c>
      <c r="V25" s="29">
        <v>32400</v>
      </c>
      <c r="W25" s="16">
        <v>324</v>
      </c>
      <c r="X25" s="16"/>
      <c r="Y25" s="16">
        <v>0</v>
      </c>
      <c r="Z25" s="16">
        <v>3468528</v>
      </c>
      <c r="AA25" s="16">
        <v>34685.279999999999</v>
      </c>
      <c r="AB25" s="16">
        <v>659400</v>
      </c>
      <c r="AC25" s="16">
        <v>6594</v>
      </c>
      <c r="AD25" s="37">
        <v>64340.88</v>
      </c>
      <c r="AE25" s="37">
        <v>166359.8774</v>
      </c>
      <c r="AF25" s="16">
        <v>85251.4182</v>
      </c>
      <c r="AG25" s="16">
        <v>65643.592013999994</v>
      </c>
      <c r="AH25" s="36">
        <v>12875354.15</v>
      </c>
      <c r="AI25" s="16">
        <v>17382794.440000001</v>
      </c>
    </row>
    <row r="26" spans="1:35" ht="36" x14ac:dyDescent="0.25">
      <c r="A26" s="126"/>
      <c r="B26" s="13" t="s">
        <v>27</v>
      </c>
      <c r="C26" s="16">
        <v>1.3</v>
      </c>
      <c r="D26" s="20">
        <v>23</v>
      </c>
      <c r="E26" s="16">
        <v>4.3499999999999996</v>
      </c>
      <c r="F26" s="16">
        <v>0.18912999999999999</v>
      </c>
      <c r="G26" s="21">
        <v>593712</v>
      </c>
      <c r="H26" s="17">
        <v>112288.7506</v>
      </c>
      <c r="I26" s="18">
        <v>2582641.2637999998</v>
      </c>
      <c r="J26" s="16">
        <v>1.1499999999999999</v>
      </c>
      <c r="K26" s="24">
        <v>0.05</v>
      </c>
      <c r="L26" s="25">
        <v>267170.40000000002</v>
      </c>
      <c r="M26" s="18">
        <v>13358.52</v>
      </c>
      <c r="N26" s="18">
        <v>307245.96000000002</v>
      </c>
      <c r="O26" s="18">
        <v>5135</v>
      </c>
      <c r="P26" s="26">
        <v>130782.2706</v>
      </c>
      <c r="Q26" s="27">
        <v>5681</v>
      </c>
      <c r="R26" s="27"/>
      <c r="S26" s="28">
        <v>19573</v>
      </c>
      <c r="T26" s="31"/>
      <c r="U26" s="16">
        <v>3164.6</v>
      </c>
      <c r="V26" s="31"/>
      <c r="W26" s="16">
        <v>324</v>
      </c>
      <c r="X26" s="16"/>
      <c r="Y26" s="16">
        <v>0</v>
      </c>
      <c r="Z26" s="16"/>
      <c r="AA26" s="16">
        <v>34685.279999999999</v>
      </c>
      <c r="AB26" s="16"/>
      <c r="AC26" s="16">
        <v>6594</v>
      </c>
      <c r="AD26" s="37">
        <v>64340.88</v>
      </c>
      <c r="AE26" s="37">
        <v>195123.15059999999</v>
      </c>
      <c r="AF26" s="16"/>
      <c r="AG26" s="16">
        <v>19607.826185999998</v>
      </c>
      <c r="AH26" s="36">
        <v>4507440.29</v>
      </c>
      <c r="AI26" s="16"/>
    </row>
    <row r="27" spans="1:35" ht="36" x14ac:dyDescent="0.25">
      <c r="A27" s="14" t="s">
        <v>13</v>
      </c>
      <c r="B27" s="13" t="s">
        <v>26</v>
      </c>
      <c r="C27" s="16">
        <v>3</v>
      </c>
      <c r="D27" s="20">
        <v>64</v>
      </c>
      <c r="E27" s="16">
        <v>6.75</v>
      </c>
      <c r="F27" s="16">
        <v>0.10546999999999999</v>
      </c>
      <c r="G27" s="21">
        <v>593712</v>
      </c>
      <c r="H27" s="17">
        <v>62618.804600000003</v>
      </c>
      <c r="I27" s="18">
        <v>4007603.4944000002</v>
      </c>
      <c r="J27" s="16">
        <v>3.45</v>
      </c>
      <c r="K27" s="24">
        <v>5.391E-2</v>
      </c>
      <c r="L27" s="25">
        <v>267170.40000000002</v>
      </c>
      <c r="M27" s="18">
        <v>14403.16</v>
      </c>
      <c r="N27" s="18">
        <v>921802.23999999999</v>
      </c>
      <c r="O27" s="18">
        <v>5135</v>
      </c>
      <c r="P27" s="26">
        <v>82156.964600000007</v>
      </c>
      <c r="Q27" s="27">
        <v>15808</v>
      </c>
      <c r="R27" s="27">
        <v>928099.99999999988</v>
      </c>
      <c r="S27" s="28">
        <v>14501.563</v>
      </c>
      <c r="T27" s="29">
        <v>213500</v>
      </c>
      <c r="U27" s="16">
        <v>3335.9375</v>
      </c>
      <c r="V27" s="29">
        <v>42000</v>
      </c>
      <c r="W27" s="16">
        <v>656.25</v>
      </c>
      <c r="X27" s="16"/>
      <c r="Y27" s="16">
        <v>0</v>
      </c>
      <c r="Z27" s="16">
        <v>2725216.2</v>
      </c>
      <c r="AA27" s="16">
        <v>42581.502999999997</v>
      </c>
      <c r="AB27" s="16">
        <v>472440</v>
      </c>
      <c r="AC27" s="16">
        <v>7381.875</v>
      </c>
      <c r="AD27" s="37">
        <v>68457.128499999992</v>
      </c>
      <c r="AE27" s="37">
        <v>150614.0931</v>
      </c>
      <c r="AF27" s="16">
        <v>65164.324099999998</v>
      </c>
      <c r="AG27" s="16">
        <v>65164.324099999998</v>
      </c>
      <c r="AH27" s="36">
        <v>9704466.2799999993</v>
      </c>
      <c r="AI27" s="16">
        <v>9704466.2799999993</v>
      </c>
    </row>
    <row r="28" spans="1:35" ht="36" x14ac:dyDescent="0.25">
      <c r="A28" s="14" t="s">
        <v>14</v>
      </c>
      <c r="B28" s="13" t="s">
        <v>26</v>
      </c>
      <c r="C28" s="16">
        <v>4</v>
      </c>
      <c r="D28" s="20">
        <v>95</v>
      </c>
      <c r="E28" s="16">
        <v>8.15</v>
      </c>
      <c r="F28" s="16">
        <v>8.5790000000000005E-2</v>
      </c>
      <c r="G28" s="21">
        <v>593712</v>
      </c>
      <c r="H28" s="17">
        <v>50934.552499999998</v>
      </c>
      <c r="I28" s="18">
        <v>4838782.4874999998</v>
      </c>
      <c r="J28" s="20">
        <v>4.7</v>
      </c>
      <c r="K28" s="24">
        <v>4.947E-2</v>
      </c>
      <c r="L28" s="25">
        <v>267170.40000000002</v>
      </c>
      <c r="M28" s="18">
        <v>13216.92</v>
      </c>
      <c r="N28" s="18">
        <v>1255607.3999999999</v>
      </c>
      <c r="O28" s="18">
        <v>5135</v>
      </c>
      <c r="P28" s="26">
        <v>69286.472500000003</v>
      </c>
      <c r="Q28" s="27">
        <v>23465</v>
      </c>
      <c r="R28" s="27">
        <v>1083600</v>
      </c>
      <c r="S28" s="28">
        <v>11406.316000000001</v>
      </c>
      <c r="T28" s="29">
        <v>123880</v>
      </c>
      <c r="U28" s="16">
        <v>1304</v>
      </c>
      <c r="V28" s="29">
        <v>28464</v>
      </c>
      <c r="W28" s="16">
        <v>299.62110000000001</v>
      </c>
      <c r="X28" s="16"/>
      <c r="Y28" s="16">
        <v>0</v>
      </c>
      <c r="Z28" s="16">
        <v>3603675.6</v>
      </c>
      <c r="AA28" s="16">
        <v>37933.427000000003</v>
      </c>
      <c r="AB28" s="16">
        <v>471100</v>
      </c>
      <c r="AC28" s="16">
        <v>4958.9470000000001</v>
      </c>
      <c r="AD28" s="37">
        <v>55902.311100000006</v>
      </c>
      <c r="AE28" s="37">
        <v>125188.78360000001</v>
      </c>
      <c r="AF28" s="16">
        <v>83970.779599999994</v>
      </c>
      <c r="AG28" s="16">
        <v>83970.779599999994</v>
      </c>
      <c r="AH28" s="36">
        <v>11976905.220000001</v>
      </c>
      <c r="AI28" s="16">
        <v>11976905.220000001</v>
      </c>
    </row>
    <row r="29" spans="1:35" ht="36" x14ac:dyDescent="0.25">
      <c r="A29" s="126" t="s">
        <v>15</v>
      </c>
      <c r="B29" s="13" t="s">
        <v>26</v>
      </c>
      <c r="C29" s="16">
        <v>8</v>
      </c>
      <c r="D29" s="20">
        <v>174</v>
      </c>
      <c r="E29" s="16">
        <v>17.399999999999999</v>
      </c>
      <c r="F29" s="16">
        <v>0.1</v>
      </c>
      <c r="G29" s="21">
        <v>593712</v>
      </c>
      <c r="H29" s="17">
        <v>59371.199999999997</v>
      </c>
      <c r="I29" s="18">
        <v>10330588.799999999</v>
      </c>
      <c r="J29" s="20">
        <v>10.35</v>
      </c>
      <c r="K29" s="24">
        <v>5.9479999999999998E-2</v>
      </c>
      <c r="L29" s="25">
        <v>267170.40000000002</v>
      </c>
      <c r="M29" s="18">
        <v>15891.3</v>
      </c>
      <c r="N29" s="18">
        <v>2765086.2</v>
      </c>
      <c r="O29" s="18">
        <v>5135</v>
      </c>
      <c r="P29" s="26">
        <v>80397.5</v>
      </c>
      <c r="Q29" s="27">
        <v>42978</v>
      </c>
      <c r="R29" s="27">
        <v>2327700</v>
      </c>
      <c r="S29" s="28">
        <v>11137.321</v>
      </c>
      <c r="T29" s="29">
        <v>279400</v>
      </c>
      <c r="U29" s="16">
        <v>1336.8421000000001</v>
      </c>
      <c r="V29" s="29">
        <v>63630</v>
      </c>
      <c r="W29" s="16">
        <v>304.44979999999998</v>
      </c>
      <c r="X29" s="16"/>
      <c r="Y29" s="16">
        <v>0</v>
      </c>
      <c r="Z29" s="16">
        <v>6194785.7999999998</v>
      </c>
      <c r="AA29" s="16">
        <v>29640.123</v>
      </c>
      <c r="AB29" s="16">
        <v>1158700</v>
      </c>
      <c r="AC29" s="16">
        <v>5544.0190000000002</v>
      </c>
      <c r="AD29" s="37">
        <v>47962.7549</v>
      </c>
      <c r="AE29" s="37">
        <v>128360.2549</v>
      </c>
      <c r="AF29" s="16">
        <v>191555.38073999999</v>
      </c>
      <c r="AG29" s="16">
        <v>159476.72846296651</v>
      </c>
      <c r="AH29" s="36">
        <v>22494161.079999998</v>
      </c>
      <c r="AI29" s="16">
        <v>30787775.419999998</v>
      </c>
    </row>
    <row r="30" spans="1:35" ht="36" x14ac:dyDescent="0.25">
      <c r="A30" s="126"/>
      <c r="B30" s="13" t="s">
        <v>27</v>
      </c>
      <c r="C30" s="20">
        <v>3</v>
      </c>
      <c r="D30" s="20">
        <v>35</v>
      </c>
      <c r="E30" s="20">
        <v>9.75</v>
      </c>
      <c r="F30" s="16">
        <v>0.27856999999999998</v>
      </c>
      <c r="G30" s="21">
        <v>593712</v>
      </c>
      <c r="H30" s="17">
        <v>165390.3518</v>
      </c>
      <c r="I30" s="18">
        <v>5788662.3130000001</v>
      </c>
      <c r="J30" s="20">
        <v>2.2999999999999998</v>
      </c>
      <c r="K30" s="24">
        <v>6.5710000000000005E-2</v>
      </c>
      <c r="L30" s="25">
        <v>267170.40000000002</v>
      </c>
      <c r="M30" s="18">
        <v>17555.77</v>
      </c>
      <c r="N30" s="18">
        <v>614451.94999999995</v>
      </c>
      <c r="O30" s="18">
        <v>5135</v>
      </c>
      <c r="P30" s="26">
        <v>188081.12179999999</v>
      </c>
      <c r="Q30" s="27">
        <v>8645</v>
      </c>
      <c r="R30" s="27"/>
      <c r="S30" s="28">
        <v>11137.321</v>
      </c>
      <c r="T30" s="31"/>
      <c r="U30" s="16">
        <v>1336.8421000000001</v>
      </c>
      <c r="V30" s="31"/>
      <c r="W30" s="16">
        <v>304.44979999999998</v>
      </c>
      <c r="X30" s="16"/>
      <c r="Y30" s="16">
        <v>0</v>
      </c>
      <c r="Z30" s="16"/>
      <c r="AA30" s="16">
        <v>29640.123</v>
      </c>
      <c r="AB30" s="16"/>
      <c r="AC30" s="16">
        <v>5544.0190000000002</v>
      </c>
      <c r="AD30" s="37">
        <v>47962.7549</v>
      </c>
      <c r="AE30" s="37">
        <v>236043.87669999999</v>
      </c>
      <c r="AF30" s="16"/>
      <c r="AG30" s="16">
        <v>32078.652277033492</v>
      </c>
      <c r="AH30" s="36">
        <v>8293614.3399999999</v>
      </c>
      <c r="AI30" s="16"/>
    </row>
    <row r="31" spans="1:35" ht="36" x14ac:dyDescent="0.25">
      <c r="A31" s="126" t="s">
        <v>16</v>
      </c>
      <c r="B31" s="13" t="s">
        <v>26</v>
      </c>
      <c r="C31" s="20">
        <v>8</v>
      </c>
      <c r="D31" s="20">
        <v>152</v>
      </c>
      <c r="E31" s="20">
        <v>16.600000000000001</v>
      </c>
      <c r="F31" s="16">
        <v>0.10921</v>
      </c>
      <c r="G31" s="21">
        <v>593712</v>
      </c>
      <c r="H31" s="17">
        <v>64839.287499999999</v>
      </c>
      <c r="I31" s="18">
        <v>9855571.6999999993</v>
      </c>
      <c r="J31" s="20">
        <v>9.1999999999999993</v>
      </c>
      <c r="K31" s="24">
        <v>6.053E-2</v>
      </c>
      <c r="L31" s="25">
        <v>267170.40000000002</v>
      </c>
      <c r="M31" s="18">
        <v>16171.82</v>
      </c>
      <c r="N31" s="18">
        <v>2458116.64</v>
      </c>
      <c r="O31" s="18">
        <v>5135</v>
      </c>
      <c r="P31" s="26">
        <v>86146.107499999998</v>
      </c>
      <c r="Q31" s="27">
        <v>37544</v>
      </c>
      <c r="R31" s="27">
        <v>3198500</v>
      </c>
      <c r="S31" s="28">
        <v>15451.691000000001</v>
      </c>
      <c r="T31" s="29">
        <v>257565</v>
      </c>
      <c r="U31" s="16">
        <v>1244.2754</v>
      </c>
      <c r="V31" s="29">
        <v>70000</v>
      </c>
      <c r="W31" s="16">
        <v>338.16430000000003</v>
      </c>
      <c r="X31" s="16"/>
      <c r="Y31" s="16">
        <v>0</v>
      </c>
      <c r="Z31" s="16">
        <v>6614420.4000000004</v>
      </c>
      <c r="AA31" s="16">
        <v>31953.722000000002</v>
      </c>
      <c r="AB31" s="16">
        <v>1248400</v>
      </c>
      <c r="AC31" s="16">
        <v>6030.9179999999997</v>
      </c>
      <c r="AD31" s="37">
        <v>55018.770700000001</v>
      </c>
      <c r="AE31" s="37">
        <v>141164.87820000001</v>
      </c>
      <c r="AF31" s="16">
        <v>632127.31778000004</v>
      </c>
      <c r="AG31" s="16">
        <v>464170.78407033818</v>
      </c>
      <c r="AH31" s="36">
        <v>21921232.27</v>
      </c>
      <c r="AI31" s="16">
        <v>35977528.600000001</v>
      </c>
    </row>
    <row r="32" spans="1:35" ht="36" x14ac:dyDescent="0.25">
      <c r="A32" s="126"/>
      <c r="B32" s="13" t="s">
        <v>27</v>
      </c>
      <c r="C32" s="20">
        <v>4</v>
      </c>
      <c r="D32" s="20">
        <v>55</v>
      </c>
      <c r="E32" s="20">
        <v>15.75</v>
      </c>
      <c r="F32" s="16">
        <v>0.28636</v>
      </c>
      <c r="G32" s="21">
        <v>593712</v>
      </c>
      <c r="H32" s="17">
        <v>170015.3683</v>
      </c>
      <c r="I32" s="18">
        <v>9350845.2565000001</v>
      </c>
      <c r="J32" s="20">
        <v>4.5999999999999996</v>
      </c>
      <c r="K32" s="24">
        <v>8.3640000000000006E-2</v>
      </c>
      <c r="L32" s="25">
        <v>267170.40000000002</v>
      </c>
      <c r="M32" s="18">
        <v>22346.13</v>
      </c>
      <c r="N32" s="18">
        <v>1229037.1499999999</v>
      </c>
      <c r="O32" s="18">
        <v>5135</v>
      </c>
      <c r="P32" s="26">
        <v>197496.49830000001</v>
      </c>
      <c r="Q32" s="27">
        <v>13585</v>
      </c>
      <c r="R32" s="27"/>
      <c r="S32" s="28">
        <v>15451.691000000001</v>
      </c>
      <c r="T32" s="31"/>
      <c r="U32" s="16">
        <v>1244.2754</v>
      </c>
      <c r="V32" s="31"/>
      <c r="W32" s="16">
        <v>338.16430000000003</v>
      </c>
      <c r="X32" s="16"/>
      <c r="Y32" s="16">
        <v>0</v>
      </c>
      <c r="Z32" s="16"/>
      <c r="AA32" s="16">
        <v>31953.722000000002</v>
      </c>
      <c r="AB32" s="16"/>
      <c r="AC32" s="16">
        <v>6030.9179999999997</v>
      </c>
      <c r="AD32" s="37">
        <v>55018.770700000001</v>
      </c>
      <c r="AE32" s="37">
        <v>252515.269</v>
      </c>
      <c r="AF32" s="16"/>
      <c r="AG32" s="16">
        <v>167956.53370966186</v>
      </c>
      <c r="AH32" s="36">
        <v>14056296.33</v>
      </c>
      <c r="AI32" s="16"/>
    </row>
    <row r="33" spans="1:35" ht="36" x14ac:dyDescent="0.25">
      <c r="A33" s="126" t="s">
        <v>17</v>
      </c>
      <c r="B33" s="13" t="s">
        <v>26</v>
      </c>
      <c r="C33" s="20">
        <v>8</v>
      </c>
      <c r="D33" s="20">
        <v>194</v>
      </c>
      <c r="E33" s="20">
        <v>17.8</v>
      </c>
      <c r="F33" s="16">
        <v>9.1749999999999998E-2</v>
      </c>
      <c r="G33" s="21">
        <v>593712</v>
      </c>
      <c r="H33" s="17">
        <v>54473.076000000001</v>
      </c>
      <c r="I33" s="18">
        <v>10567776.744000001</v>
      </c>
      <c r="J33" s="20">
        <v>9.3000000000000007</v>
      </c>
      <c r="K33" s="24">
        <v>4.7940000000000003E-2</v>
      </c>
      <c r="L33" s="25">
        <v>267170.40000000002</v>
      </c>
      <c r="M33" s="18">
        <v>12808.15</v>
      </c>
      <c r="N33" s="18">
        <v>2484781.1</v>
      </c>
      <c r="O33" s="18">
        <v>5135</v>
      </c>
      <c r="P33" s="26">
        <v>72416.225999999995</v>
      </c>
      <c r="Q33" s="27">
        <v>47918</v>
      </c>
      <c r="R33" s="27">
        <v>2669500</v>
      </c>
      <c r="S33" s="28">
        <v>11917.411</v>
      </c>
      <c r="T33" s="29">
        <v>209300</v>
      </c>
      <c r="U33" s="16">
        <v>934.375</v>
      </c>
      <c r="V33" s="29">
        <v>40000</v>
      </c>
      <c r="W33" s="16">
        <v>178.57140000000001</v>
      </c>
      <c r="X33" s="16"/>
      <c r="Y33" s="16">
        <v>0</v>
      </c>
      <c r="Z33" s="16">
        <v>5950400.4000000004</v>
      </c>
      <c r="AA33" s="16">
        <v>26564.288</v>
      </c>
      <c r="AB33" s="16">
        <v>1185600</v>
      </c>
      <c r="AC33" s="16">
        <v>5292.857</v>
      </c>
      <c r="AD33" s="37">
        <v>44887.502399999998</v>
      </c>
      <c r="AE33" s="37">
        <v>117303.72839999999</v>
      </c>
      <c r="AF33" s="16">
        <v>357570.29250000004</v>
      </c>
      <c r="AG33" s="16">
        <v>309681.41404017858</v>
      </c>
      <c r="AH33" s="36">
        <v>23066604.719999999</v>
      </c>
      <c r="AI33" s="16">
        <v>31770882.669999998</v>
      </c>
    </row>
    <row r="34" spans="1:35" ht="36" x14ac:dyDescent="0.25">
      <c r="A34" s="126"/>
      <c r="B34" s="13" t="s">
        <v>27</v>
      </c>
      <c r="C34" s="20">
        <v>3</v>
      </c>
      <c r="D34" s="20">
        <v>30</v>
      </c>
      <c r="E34" s="16">
        <v>10.5</v>
      </c>
      <c r="F34" s="16">
        <v>0.35</v>
      </c>
      <c r="G34" s="21">
        <v>593712</v>
      </c>
      <c r="H34" s="17">
        <v>207799.2</v>
      </c>
      <c r="I34" s="18">
        <v>6233976</v>
      </c>
      <c r="J34" s="16">
        <v>3.45</v>
      </c>
      <c r="K34" s="24">
        <v>0.115</v>
      </c>
      <c r="L34" s="25">
        <v>267170.40000000002</v>
      </c>
      <c r="M34" s="18">
        <v>30724.6</v>
      </c>
      <c r="N34" s="18">
        <v>921738</v>
      </c>
      <c r="O34" s="18">
        <v>5135</v>
      </c>
      <c r="P34" s="26">
        <v>243658.80000000002</v>
      </c>
      <c r="Q34" s="27">
        <v>7410</v>
      </c>
      <c r="R34" s="27"/>
      <c r="S34" s="28">
        <v>11917.411</v>
      </c>
      <c r="T34" s="31"/>
      <c r="U34" s="16">
        <v>934.375</v>
      </c>
      <c r="V34" s="31"/>
      <c r="W34" s="16">
        <v>178.57140000000001</v>
      </c>
      <c r="X34" s="16"/>
      <c r="Y34" s="16">
        <v>0</v>
      </c>
      <c r="Z34" s="16"/>
      <c r="AA34" s="16">
        <v>26564.288</v>
      </c>
      <c r="AB34" s="16"/>
      <c r="AC34" s="16">
        <v>5292.857</v>
      </c>
      <c r="AD34" s="37">
        <v>44887.502399999998</v>
      </c>
      <c r="AE34" s="37">
        <v>288546.30240000004</v>
      </c>
      <c r="AF34" s="16"/>
      <c r="AG34" s="16">
        <v>47888.878459821433</v>
      </c>
      <c r="AH34" s="36">
        <v>8704277.9499999993</v>
      </c>
      <c r="AI34" s="16"/>
    </row>
    <row r="35" spans="1:35" ht="36" x14ac:dyDescent="0.25">
      <c r="A35" s="14" t="s">
        <v>18</v>
      </c>
      <c r="B35" s="13" t="s">
        <v>26</v>
      </c>
      <c r="C35" s="20">
        <v>3</v>
      </c>
      <c r="D35" s="20">
        <v>55</v>
      </c>
      <c r="E35" s="16">
        <v>6.5</v>
      </c>
      <c r="F35" s="16">
        <v>0.11817999999999999</v>
      </c>
      <c r="G35" s="21">
        <v>593712</v>
      </c>
      <c r="H35" s="17">
        <v>70164.8842</v>
      </c>
      <c r="I35" s="18">
        <v>3859068.6310000001</v>
      </c>
      <c r="J35" s="16">
        <v>3.55</v>
      </c>
      <c r="K35" s="24">
        <v>6.4549999999999996E-2</v>
      </c>
      <c r="L35" s="25">
        <v>267170.40000000002</v>
      </c>
      <c r="M35" s="18">
        <v>17245.849999999999</v>
      </c>
      <c r="N35" s="18">
        <v>948521.75</v>
      </c>
      <c r="O35" s="18">
        <v>5135</v>
      </c>
      <c r="P35" s="26">
        <v>92545.734200000006</v>
      </c>
      <c r="Q35" s="27">
        <v>13585</v>
      </c>
      <c r="R35" s="27">
        <v>869199.99999999988</v>
      </c>
      <c r="S35" s="28">
        <v>15803.636</v>
      </c>
      <c r="T35" s="29">
        <v>147424</v>
      </c>
      <c r="U35" s="16">
        <v>2680.4364</v>
      </c>
      <c r="V35" s="29">
        <v>37940</v>
      </c>
      <c r="W35" s="16">
        <v>689.81820000000005</v>
      </c>
      <c r="X35" s="16"/>
      <c r="Y35" s="16">
        <v>0</v>
      </c>
      <c r="Z35" s="16">
        <v>3333380.4</v>
      </c>
      <c r="AA35" s="16">
        <v>60606.915999999997</v>
      </c>
      <c r="AB35" s="16">
        <v>533084</v>
      </c>
      <c r="AC35" s="16">
        <v>9692.4359999999997</v>
      </c>
      <c r="AD35" s="37">
        <v>89473.242599999998</v>
      </c>
      <c r="AE35" s="37">
        <v>182018.9768</v>
      </c>
      <c r="AF35" s="16">
        <v>42839.743800000004</v>
      </c>
      <c r="AG35" s="16">
        <v>42839.743800000004</v>
      </c>
      <c r="AH35" s="36">
        <v>10053883.470000001</v>
      </c>
      <c r="AI35" s="16">
        <v>10053883.470000001</v>
      </c>
    </row>
    <row r="36" spans="1:35" ht="36" x14ac:dyDescent="0.25">
      <c r="A36" s="14" t="s">
        <v>19</v>
      </c>
      <c r="B36" s="13" t="s">
        <v>26</v>
      </c>
      <c r="C36" s="20">
        <v>4</v>
      </c>
      <c r="D36" s="20">
        <v>84</v>
      </c>
      <c r="E36" s="16">
        <v>9.15</v>
      </c>
      <c r="F36" s="16">
        <v>0.10893</v>
      </c>
      <c r="G36" s="21">
        <v>593712</v>
      </c>
      <c r="H36" s="17">
        <v>64673.048199999997</v>
      </c>
      <c r="I36" s="18">
        <v>5432536.0488</v>
      </c>
      <c r="J36" s="16">
        <v>4.7</v>
      </c>
      <c r="K36" s="24">
        <v>5.595E-2</v>
      </c>
      <c r="L36" s="25">
        <v>267170.40000000002</v>
      </c>
      <c r="M36" s="18">
        <v>14948.18</v>
      </c>
      <c r="N36" s="18">
        <v>1255647.1200000001</v>
      </c>
      <c r="O36" s="18">
        <v>5135</v>
      </c>
      <c r="P36" s="26">
        <v>84756.228199999998</v>
      </c>
      <c r="Q36" s="27">
        <v>20748</v>
      </c>
      <c r="R36" s="27">
        <v>751000</v>
      </c>
      <c r="S36" s="28">
        <v>8940.4760000000006</v>
      </c>
      <c r="T36" s="29">
        <v>158600</v>
      </c>
      <c r="U36" s="16">
        <v>1888.0952</v>
      </c>
      <c r="V36" s="29">
        <v>34200</v>
      </c>
      <c r="W36" s="16">
        <v>407.1429</v>
      </c>
      <c r="X36" s="16"/>
      <c r="Y36" s="16">
        <v>0</v>
      </c>
      <c r="Z36" s="16">
        <v>3738823.2</v>
      </c>
      <c r="AA36" s="16">
        <v>44509.8</v>
      </c>
      <c r="AB36" s="16">
        <v>797000</v>
      </c>
      <c r="AC36" s="16">
        <v>9488.0949999999993</v>
      </c>
      <c r="AD36" s="37">
        <v>65233.609100000001</v>
      </c>
      <c r="AE36" s="37">
        <v>149989.83730000001</v>
      </c>
      <c r="AF36" s="16">
        <v>62224.212749999999</v>
      </c>
      <c r="AG36" s="16">
        <v>62224.212749999999</v>
      </c>
      <c r="AH36" s="36">
        <v>12661370.550000001</v>
      </c>
      <c r="AI36" s="16">
        <v>12661370.550000001</v>
      </c>
    </row>
    <row r="37" spans="1:35" ht="36" x14ac:dyDescent="0.25">
      <c r="A37" s="14" t="s">
        <v>20</v>
      </c>
      <c r="B37" s="13" t="s">
        <v>26</v>
      </c>
      <c r="C37" s="20">
        <v>4</v>
      </c>
      <c r="D37" s="20">
        <v>102</v>
      </c>
      <c r="E37" s="16">
        <v>9</v>
      </c>
      <c r="F37" s="16">
        <v>8.8239999999999999E-2</v>
      </c>
      <c r="G37" s="21">
        <v>593712</v>
      </c>
      <c r="H37" s="17">
        <v>52389.1469</v>
      </c>
      <c r="I37" s="18">
        <v>5343692.9837999996</v>
      </c>
      <c r="J37" s="16">
        <v>4.95</v>
      </c>
      <c r="K37" s="24">
        <v>4.8529999999999997E-2</v>
      </c>
      <c r="L37" s="25">
        <v>267170.40000000002</v>
      </c>
      <c r="M37" s="18">
        <v>12965.78</v>
      </c>
      <c r="N37" s="18">
        <v>1322509.56</v>
      </c>
      <c r="O37" s="18">
        <v>5135</v>
      </c>
      <c r="P37" s="26">
        <v>70489.926899999991</v>
      </c>
      <c r="Q37" s="27">
        <v>25194</v>
      </c>
      <c r="R37" s="27">
        <v>1245900</v>
      </c>
      <c r="S37" s="28">
        <v>12214.706</v>
      </c>
      <c r="T37" s="29">
        <v>242600</v>
      </c>
      <c r="U37" s="16">
        <v>2378.4313999999999</v>
      </c>
      <c r="V37" s="29">
        <v>71500</v>
      </c>
      <c r="W37" s="16">
        <v>700.98040000000003</v>
      </c>
      <c r="X37" s="16"/>
      <c r="Y37" s="16">
        <v>0</v>
      </c>
      <c r="Z37" s="16">
        <v>3671249.4</v>
      </c>
      <c r="AA37" s="16">
        <v>35992.641000000003</v>
      </c>
      <c r="AB37" s="16">
        <v>805000</v>
      </c>
      <c r="AC37" s="16">
        <v>7892.1570000000002</v>
      </c>
      <c r="AD37" s="37">
        <v>59178.915800000002</v>
      </c>
      <c r="AE37" s="37">
        <v>129668.84269999999</v>
      </c>
      <c r="AF37" s="16">
        <v>46404.214600000007</v>
      </c>
      <c r="AG37" s="16">
        <v>46404.214600000007</v>
      </c>
      <c r="AH37" s="36">
        <v>13272626.17</v>
      </c>
      <c r="AI37" s="16">
        <v>13272626.17</v>
      </c>
    </row>
    <row r="38" spans="1:35" ht="36" x14ac:dyDescent="0.25">
      <c r="A38" s="126" t="s">
        <v>21</v>
      </c>
      <c r="B38" s="13" t="s">
        <v>26</v>
      </c>
      <c r="C38" s="20">
        <v>3</v>
      </c>
      <c r="D38" s="20">
        <v>64</v>
      </c>
      <c r="E38" s="16">
        <v>8.85</v>
      </c>
      <c r="F38" s="16">
        <v>0.13827999999999999</v>
      </c>
      <c r="G38" s="21">
        <v>593712</v>
      </c>
      <c r="H38" s="17">
        <v>82098.4954</v>
      </c>
      <c r="I38" s="18">
        <v>5254303.7056</v>
      </c>
      <c r="J38" s="16">
        <v>3.55</v>
      </c>
      <c r="K38" s="24">
        <v>5.5469999999999998E-2</v>
      </c>
      <c r="L38" s="25">
        <v>267170.40000000002</v>
      </c>
      <c r="M38" s="18">
        <v>14819.94</v>
      </c>
      <c r="N38" s="18">
        <v>948476.16</v>
      </c>
      <c r="O38" s="18">
        <v>5135</v>
      </c>
      <c r="P38" s="26">
        <v>102053.4354</v>
      </c>
      <c r="Q38" s="27">
        <v>15808</v>
      </c>
      <c r="R38" s="27">
        <v>1440499.9999999998</v>
      </c>
      <c r="S38" s="28">
        <v>13850.962</v>
      </c>
      <c r="T38" s="29">
        <v>174956</v>
      </c>
      <c r="U38" s="16">
        <v>1682.2692</v>
      </c>
      <c r="V38" s="29">
        <v>42000</v>
      </c>
      <c r="W38" s="16">
        <v>403.84620000000001</v>
      </c>
      <c r="X38" s="16"/>
      <c r="Y38" s="16">
        <v>0</v>
      </c>
      <c r="Z38" s="16">
        <v>4467682.8</v>
      </c>
      <c r="AA38" s="16">
        <v>42958.487999999998</v>
      </c>
      <c r="AB38" s="16">
        <v>910700</v>
      </c>
      <c r="AC38" s="16">
        <v>8756.7309999999998</v>
      </c>
      <c r="AD38" s="37">
        <v>67652.296399999992</v>
      </c>
      <c r="AE38" s="37">
        <v>169705.73180000001</v>
      </c>
      <c r="AF38" s="16">
        <v>152034.21489999999</v>
      </c>
      <c r="AG38" s="16">
        <v>93559.516861538461</v>
      </c>
      <c r="AH38" s="36">
        <v>10954726.35</v>
      </c>
      <c r="AI38" s="16">
        <v>22119402.899999999</v>
      </c>
    </row>
    <row r="39" spans="1:35" ht="51.75" customHeight="1" x14ac:dyDescent="0.25">
      <c r="A39" s="126"/>
      <c r="B39" s="13" t="s">
        <v>27</v>
      </c>
      <c r="C39" s="20">
        <v>3</v>
      </c>
      <c r="D39" s="20">
        <v>40</v>
      </c>
      <c r="E39" s="16">
        <v>12.25</v>
      </c>
      <c r="F39" s="16">
        <v>0.30625000000000002</v>
      </c>
      <c r="G39" s="21">
        <v>593712</v>
      </c>
      <c r="H39" s="17">
        <v>181824.3</v>
      </c>
      <c r="I39" s="18">
        <v>7272972</v>
      </c>
      <c r="J39" s="16">
        <v>3.45</v>
      </c>
      <c r="K39" s="24">
        <v>8.6249999999999993E-2</v>
      </c>
      <c r="L39" s="25">
        <v>267170.40000000002</v>
      </c>
      <c r="M39" s="18">
        <v>23043.45</v>
      </c>
      <c r="N39" s="18">
        <v>921738</v>
      </c>
      <c r="O39" s="18">
        <v>5135</v>
      </c>
      <c r="P39" s="26">
        <v>210002.75</v>
      </c>
      <c r="Q39" s="27">
        <v>9880</v>
      </c>
      <c r="R39" s="27"/>
      <c r="S39" s="28">
        <v>13850.962</v>
      </c>
      <c r="T39" s="31"/>
      <c r="U39" s="16">
        <v>1682.2692</v>
      </c>
      <c r="V39" s="31"/>
      <c r="W39" s="16">
        <v>403.84620000000001</v>
      </c>
      <c r="X39" s="16"/>
      <c r="Y39" s="16">
        <v>0</v>
      </c>
      <c r="Z39" s="16"/>
      <c r="AA39" s="16">
        <v>42958.487999999998</v>
      </c>
      <c r="AB39" s="16"/>
      <c r="AC39" s="16">
        <v>8756.7309999999998</v>
      </c>
      <c r="AD39" s="37">
        <v>67652.296399999992</v>
      </c>
      <c r="AE39" s="37">
        <v>277655.04639999999</v>
      </c>
      <c r="AF39" s="16"/>
      <c r="AG39" s="16">
        <v>58474.698038461538</v>
      </c>
      <c r="AH39" s="36">
        <v>11164676.550000001</v>
      </c>
      <c r="AI39" s="16"/>
    </row>
    <row r="40" spans="1:35" ht="36" x14ac:dyDescent="0.25">
      <c r="A40" s="111" t="s">
        <v>22</v>
      </c>
      <c r="B40" s="13" t="s">
        <v>26</v>
      </c>
      <c r="C40" s="20">
        <v>5</v>
      </c>
      <c r="D40" s="20">
        <v>124</v>
      </c>
      <c r="E40" s="16">
        <v>11.55</v>
      </c>
      <c r="F40" s="16">
        <v>9.3149999999999997E-2</v>
      </c>
      <c r="G40" s="21">
        <v>593712</v>
      </c>
      <c r="H40" s="17">
        <v>55304.272799999999</v>
      </c>
      <c r="I40" s="18">
        <v>6857729.8272000002</v>
      </c>
      <c r="J40" s="16">
        <v>4.8499999999999996</v>
      </c>
      <c r="K40" s="24">
        <v>3.9109999999999999E-2</v>
      </c>
      <c r="L40" s="25">
        <v>267170.40000000002</v>
      </c>
      <c r="M40" s="18">
        <v>10449.030000000001</v>
      </c>
      <c r="N40" s="18">
        <v>1295679.72</v>
      </c>
      <c r="O40" s="18">
        <v>5135</v>
      </c>
      <c r="P40" s="26">
        <v>70888.302800000005</v>
      </c>
      <c r="Q40" s="27">
        <v>30628</v>
      </c>
      <c r="R40" s="27">
        <v>1697000</v>
      </c>
      <c r="S40" s="28">
        <v>12477.941000000001</v>
      </c>
      <c r="T40" s="29">
        <v>213650</v>
      </c>
      <c r="U40" s="16">
        <v>1570.9558999999999</v>
      </c>
      <c r="V40" s="29">
        <v>30000</v>
      </c>
      <c r="W40" s="16">
        <v>220.5882</v>
      </c>
      <c r="X40" s="16"/>
      <c r="Y40" s="16">
        <v>0</v>
      </c>
      <c r="Z40" s="16">
        <v>4426539.5999999996</v>
      </c>
      <c r="AA40" s="16">
        <v>32548.084999999999</v>
      </c>
      <c r="AB40" s="16">
        <v>1119100</v>
      </c>
      <c r="AC40" s="16">
        <v>8228.6759999999995</v>
      </c>
      <c r="AD40" s="37">
        <v>55046.246099999997</v>
      </c>
      <c r="AE40" s="37">
        <v>125934.54889999999</v>
      </c>
      <c r="AF40" s="16">
        <v>82736.112250000006</v>
      </c>
      <c r="AG40" s="16">
        <v>75435.867051470588</v>
      </c>
      <c r="AH40" s="36">
        <v>15691319.93</v>
      </c>
      <c r="AI40" s="16">
        <v>18657570.66</v>
      </c>
    </row>
    <row r="41" spans="1:35" ht="36" x14ac:dyDescent="0.25">
      <c r="A41" s="112"/>
      <c r="B41" s="13" t="s">
        <v>27</v>
      </c>
      <c r="C41" s="20">
        <v>1</v>
      </c>
      <c r="D41" s="20">
        <v>12</v>
      </c>
      <c r="E41" s="16">
        <v>3.25</v>
      </c>
      <c r="F41" s="16">
        <v>0.27083000000000002</v>
      </c>
      <c r="G41" s="21">
        <v>593712</v>
      </c>
      <c r="H41" s="17">
        <v>160795.02100000001</v>
      </c>
      <c r="I41" s="18">
        <v>1929540.2520000001</v>
      </c>
      <c r="J41" s="16">
        <v>1.1499999999999999</v>
      </c>
      <c r="K41" s="24">
        <v>9.5829999999999999E-2</v>
      </c>
      <c r="L41" s="25">
        <v>267170.40000000002</v>
      </c>
      <c r="M41" s="18">
        <v>25602.94</v>
      </c>
      <c r="N41" s="18">
        <v>307235.28000000003</v>
      </c>
      <c r="O41" s="18">
        <v>5135</v>
      </c>
      <c r="P41" s="26">
        <v>191532.96100000001</v>
      </c>
      <c r="Q41" s="27">
        <v>2964</v>
      </c>
      <c r="R41" s="27"/>
      <c r="S41" s="28">
        <v>12477.941000000001</v>
      </c>
      <c r="T41" s="29"/>
      <c r="U41" s="16">
        <v>1570.9558999999999</v>
      </c>
      <c r="V41" s="29"/>
      <c r="W41" s="16">
        <v>220.5882</v>
      </c>
      <c r="X41" s="16"/>
      <c r="Y41" s="16">
        <v>0</v>
      </c>
      <c r="Z41" s="16"/>
      <c r="AA41" s="16">
        <v>32548.084999999999</v>
      </c>
      <c r="AB41" s="16"/>
      <c r="AC41" s="16">
        <v>8228.6759999999995</v>
      </c>
      <c r="AD41" s="37">
        <v>55046.246099999997</v>
      </c>
      <c r="AE41" s="37">
        <v>246579.2071</v>
      </c>
      <c r="AF41" s="16"/>
      <c r="AG41" s="16">
        <v>7300.2451985294119</v>
      </c>
      <c r="AH41" s="36">
        <v>2966250.73</v>
      </c>
      <c r="AI41" s="16"/>
    </row>
    <row r="42" spans="1:35" ht="36" x14ac:dyDescent="0.25">
      <c r="A42" s="111" t="s">
        <v>23</v>
      </c>
      <c r="B42" s="13" t="s">
        <v>26</v>
      </c>
      <c r="C42" s="20">
        <v>10</v>
      </c>
      <c r="D42" s="20">
        <v>160</v>
      </c>
      <c r="E42" s="16">
        <v>20</v>
      </c>
      <c r="F42" s="16">
        <v>0.125</v>
      </c>
      <c r="G42" s="21">
        <v>593712</v>
      </c>
      <c r="H42" s="17">
        <v>74214</v>
      </c>
      <c r="I42" s="18">
        <v>11874240</v>
      </c>
      <c r="J42" s="16">
        <v>11.45</v>
      </c>
      <c r="K42" s="24">
        <v>7.1559999999999999E-2</v>
      </c>
      <c r="L42" s="25">
        <v>267170.40000000002</v>
      </c>
      <c r="M42" s="18">
        <v>19118.71</v>
      </c>
      <c r="N42" s="18">
        <v>3058993.6</v>
      </c>
      <c r="O42" s="18">
        <v>5135</v>
      </c>
      <c r="P42" s="26">
        <v>98467.709999999992</v>
      </c>
      <c r="Q42" s="27">
        <v>39520</v>
      </c>
      <c r="R42" s="27">
        <v>2663200</v>
      </c>
      <c r="S42" s="28">
        <v>15665.882</v>
      </c>
      <c r="T42" s="29">
        <v>241800</v>
      </c>
      <c r="U42" s="16">
        <v>1422.3529000000001</v>
      </c>
      <c r="V42" s="29">
        <v>22000</v>
      </c>
      <c r="W42" s="16">
        <v>129.4118</v>
      </c>
      <c r="X42" s="16"/>
      <c r="Y42" s="16">
        <v>0</v>
      </c>
      <c r="Z42" s="16">
        <v>5090299.2</v>
      </c>
      <c r="AA42" s="16">
        <v>29942.936000000002</v>
      </c>
      <c r="AB42" s="16">
        <v>960220</v>
      </c>
      <c r="AC42" s="16">
        <v>5648.3530000000001</v>
      </c>
      <c r="AD42" s="37">
        <v>52808.935700000002</v>
      </c>
      <c r="AE42" s="37">
        <v>151276.64569999999</v>
      </c>
      <c r="AF42" s="16">
        <v>198991.36979999999</v>
      </c>
      <c r="AG42" s="16">
        <v>187285.99510588235</v>
      </c>
      <c r="AH42" s="36">
        <v>24391549.309999999</v>
      </c>
      <c r="AI42" s="16">
        <v>27219504.039999999</v>
      </c>
    </row>
    <row r="43" spans="1:35" ht="36" x14ac:dyDescent="0.25">
      <c r="A43" s="112"/>
      <c r="B43" s="13" t="s">
        <v>27</v>
      </c>
      <c r="C43" s="20">
        <v>1</v>
      </c>
      <c r="D43" s="20">
        <v>10</v>
      </c>
      <c r="E43" s="16">
        <v>3.25</v>
      </c>
      <c r="F43" s="16">
        <v>0.32500000000000001</v>
      </c>
      <c r="G43" s="21">
        <v>593712</v>
      </c>
      <c r="H43" s="17">
        <v>192956.4</v>
      </c>
      <c r="I43" s="18">
        <v>1929564</v>
      </c>
      <c r="J43" s="16">
        <v>1.1499999999999999</v>
      </c>
      <c r="K43" s="24">
        <v>0.115</v>
      </c>
      <c r="L43" s="25">
        <v>267170.40000000002</v>
      </c>
      <c r="M43" s="18">
        <v>30724.6</v>
      </c>
      <c r="N43" s="18">
        <v>307246</v>
      </c>
      <c r="O43" s="18">
        <v>5135</v>
      </c>
      <c r="P43" s="26">
        <v>228816</v>
      </c>
      <c r="Q43" s="27">
        <v>2470</v>
      </c>
      <c r="R43" s="27"/>
      <c r="S43" s="28">
        <v>15665.882</v>
      </c>
      <c r="T43" s="30"/>
      <c r="U43" s="16">
        <v>1422.3529000000001</v>
      </c>
      <c r="V43" s="30"/>
      <c r="W43" s="16">
        <v>129.4118</v>
      </c>
      <c r="X43" s="16"/>
      <c r="Y43" s="16">
        <v>0</v>
      </c>
      <c r="Z43" s="16"/>
      <c r="AA43" s="16">
        <v>29942.936000000002</v>
      </c>
      <c r="AB43" s="16"/>
      <c r="AC43" s="16">
        <v>5648.3530000000001</v>
      </c>
      <c r="AD43" s="37">
        <v>52808.935700000002</v>
      </c>
      <c r="AE43" s="37">
        <v>281624.93570000003</v>
      </c>
      <c r="AF43" s="16"/>
      <c r="AG43" s="16">
        <v>11705.374694117647</v>
      </c>
      <c r="AH43" s="36">
        <v>2827954.73</v>
      </c>
      <c r="AI43" s="16"/>
    </row>
    <row r="44" spans="1:35" ht="36" x14ac:dyDescent="0.25">
      <c r="A44" s="126" t="s">
        <v>24</v>
      </c>
      <c r="B44" s="13" t="s">
        <v>26</v>
      </c>
      <c r="C44" s="20">
        <v>4</v>
      </c>
      <c r="D44" s="20">
        <v>111</v>
      </c>
      <c r="E44" s="16">
        <v>9.6999999999999993</v>
      </c>
      <c r="F44" s="16">
        <v>8.7389999999999995E-2</v>
      </c>
      <c r="G44" s="21">
        <v>593712</v>
      </c>
      <c r="H44" s="17">
        <v>51884.491699999999</v>
      </c>
      <c r="I44" s="18">
        <v>5759178.5786999995</v>
      </c>
      <c r="J44" s="16">
        <v>4.5</v>
      </c>
      <c r="K44" s="24">
        <v>4.054E-2</v>
      </c>
      <c r="L44" s="25">
        <v>267170.40000000002</v>
      </c>
      <c r="M44" s="18">
        <v>10831.09</v>
      </c>
      <c r="N44" s="18">
        <v>1202250.99</v>
      </c>
      <c r="O44" s="18">
        <v>5135</v>
      </c>
      <c r="P44" s="26">
        <v>67850.581699999995</v>
      </c>
      <c r="Q44" s="27">
        <v>27417</v>
      </c>
      <c r="R44" s="27">
        <v>1976300</v>
      </c>
      <c r="S44" s="28">
        <v>13175.333000000001</v>
      </c>
      <c r="T44" s="30">
        <v>312300</v>
      </c>
      <c r="U44" s="16">
        <v>2082</v>
      </c>
      <c r="V44" s="30">
        <v>45408</v>
      </c>
      <c r="W44" s="16">
        <v>302.72000000000003</v>
      </c>
      <c r="X44" s="16"/>
      <c r="Y44" s="16">
        <v>0</v>
      </c>
      <c r="Z44" s="16">
        <v>3738823.2</v>
      </c>
      <c r="AA44" s="16">
        <v>24925.488000000001</v>
      </c>
      <c r="AB44" s="16">
        <v>1057000</v>
      </c>
      <c r="AC44" s="16">
        <v>7046.6670000000004</v>
      </c>
      <c r="AD44" s="37">
        <v>47532.207999999999</v>
      </c>
      <c r="AE44" s="37">
        <v>115382.78969999999</v>
      </c>
      <c r="AF44" s="16">
        <v>85619.668639999989</v>
      </c>
      <c r="AG44" s="16">
        <v>63358.554793599986</v>
      </c>
      <c r="AH44" s="36">
        <v>12870848.210000001</v>
      </c>
      <c r="AI44" s="16">
        <v>19984832.330000002</v>
      </c>
    </row>
    <row r="45" spans="1:35" ht="36" x14ac:dyDescent="0.25">
      <c r="A45" s="126"/>
      <c r="B45" s="13" t="s">
        <v>27</v>
      </c>
      <c r="C45" s="20">
        <v>2</v>
      </c>
      <c r="D45" s="20">
        <v>39</v>
      </c>
      <c r="E45" s="16">
        <v>7.45</v>
      </c>
      <c r="F45" s="16">
        <v>0.19103000000000001</v>
      </c>
      <c r="G45" s="21">
        <v>593712</v>
      </c>
      <c r="H45" s="17">
        <v>113416.8034</v>
      </c>
      <c r="I45" s="18">
        <v>4423255.3326000003</v>
      </c>
      <c r="J45" s="16">
        <v>2.2999999999999998</v>
      </c>
      <c r="K45" s="24">
        <v>5.8970000000000002E-2</v>
      </c>
      <c r="L45" s="25">
        <v>267170.40000000002</v>
      </c>
      <c r="M45" s="18">
        <v>15755.04</v>
      </c>
      <c r="N45" s="18">
        <v>614446.56000000006</v>
      </c>
      <c r="O45" s="18">
        <v>5135</v>
      </c>
      <c r="P45" s="26">
        <v>134306.84340000001</v>
      </c>
      <c r="Q45" s="27">
        <v>9633</v>
      </c>
      <c r="R45" s="27"/>
      <c r="S45" s="28">
        <v>13175.333000000001</v>
      </c>
      <c r="T45" s="31"/>
      <c r="U45" s="16">
        <v>2082</v>
      </c>
      <c r="V45" s="31"/>
      <c r="W45" s="16">
        <v>302.72000000000003</v>
      </c>
      <c r="X45" s="16"/>
      <c r="Y45" s="16">
        <v>0</v>
      </c>
      <c r="Z45" s="16"/>
      <c r="AA45" s="16">
        <v>24925.488000000001</v>
      </c>
      <c r="AB45" s="16"/>
      <c r="AC45" s="16">
        <v>7046.6670000000004</v>
      </c>
      <c r="AD45" s="37">
        <v>47532.207999999999</v>
      </c>
      <c r="AE45" s="37">
        <v>181839.0514</v>
      </c>
      <c r="AF45" s="31"/>
      <c r="AG45" s="16">
        <v>22261.113846399996</v>
      </c>
      <c r="AH45" s="36">
        <v>7113984.1200000001</v>
      </c>
      <c r="AI45" s="16"/>
    </row>
    <row r="46" spans="1:35" ht="36" x14ac:dyDescent="0.25">
      <c r="A46" s="97" t="s">
        <v>60</v>
      </c>
      <c r="B46" s="13" t="s">
        <v>26</v>
      </c>
      <c r="C46" s="20">
        <v>4</v>
      </c>
      <c r="D46" s="20">
        <v>60</v>
      </c>
      <c r="E46" s="16">
        <v>9</v>
      </c>
      <c r="F46" s="16">
        <v>0.15</v>
      </c>
      <c r="G46" s="21">
        <v>593712</v>
      </c>
      <c r="H46" s="17">
        <v>89056.8</v>
      </c>
      <c r="I46" s="18">
        <v>5343408</v>
      </c>
      <c r="J46" s="16">
        <v>6.95</v>
      </c>
      <c r="K46" s="24">
        <v>0.11583</v>
      </c>
      <c r="L46" s="25">
        <v>267170.40000000002</v>
      </c>
      <c r="M46" s="18">
        <v>30946.35</v>
      </c>
      <c r="N46" s="18">
        <v>1856781</v>
      </c>
      <c r="O46" s="18">
        <v>5135</v>
      </c>
      <c r="P46" s="26">
        <v>125138.15</v>
      </c>
      <c r="Q46" s="27">
        <v>14820</v>
      </c>
      <c r="R46" s="27">
        <v>1389600</v>
      </c>
      <c r="S46" s="28">
        <v>23160</v>
      </c>
      <c r="T46" s="31">
        <v>133000</v>
      </c>
      <c r="U46" s="16">
        <v>2216.6667000000002</v>
      </c>
      <c r="V46" s="31">
        <v>63600</v>
      </c>
      <c r="W46" s="16">
        <v>1060</v>
      </c>
      <c r="X46" s="35"/>
      <c r="Y46" s="16">
        <v>0</v>
      </c>
      <c r="Z46" s="31">
        <v>3671249.4</v>
      </c>
      <c r="AA46" s="16">
        <v>61187.49</v>
      </c>
      <c r="AB46" s="31">
        <v>532300</v>
      </c>
      <c r="AC46" s="16">
        <v>8871.6669999999995</v>
      </c>
      <c r="AD46" s="37">
        <v>96495.823699999994</v>
      </c>
      <c r="AE46" s="37">
        <v>221633.97369999997</v>
      </c>
      <c r="AF46" s="31">
        <v>2045996.1892300004</v>
      </c>
      <c r="AG46" s="16">
        <v>2045996.1892300004</v>
      </c>
      <c r="AH46" s="36">
        <v>15344034.609999999</v>
      </c>
      <c r="AI46" s="16">
        <v>15344034.609999999</v>
      </c>
    </row>
    <row r="47" spans="1:35" ht="36" x14ac:dyDescent="0.25">
      <c r="A47" s="15" t="s">
        <v>40</v>
      </c>
      <c r="B47" s="13" t="s">
        <v>26</v>
      </c>
      <c r="C47" s="16">
        <v>129.4</v>
      </c>
      <c r="D47" s="16">
        <v>2762</v>
      </c>
      <c r="E47" s="16">
        <v>293.60000000000002</v>
      </c>
      <c r="F47" s="16">
        <v>0.10630000000000001</v>
      </c>
      <c r="G47" s="21">
        <v>593712</v>
      </c>
      <c r="H47" s="17">
        <v>63111.59</v>
      </c>
      <c r="I47" s="18">
        <v>174314211.57999998</v>
      </c>
      <c r="J47" s="23">
        <v>155.85</v>
      </c>
      <c r="K47" s="24">
        <v>5.6430000000000001E-2</v>
      </c>
      <c r="L47" s="25">
        <v>267170.40000000002</v>
      </c>
      <c r="M47" s="18">
        <v>15076.425999999999</v>
      </c>
      <c r="N47" s="18">
        <v>41641088.609999999</v>
      </c>
      <c r="O47" s="18">
        <v>5135</v>
      </c>
      <c r="P47" s="26">
        <v>83323.016000000003</v>
      </c>
      <c r="Q47" s="27">
        <v>682214</v>
      </c>
      <c r="R47" s="27">
        <v>44322500</v>
      </c>
      <c r="S47" s="28">
        <v>13769.028</v>
      </c>
      <c r="T47" s="32">
        <v>5218295</v>
      </c>
      <c r="U47" s="33">
        <v>1621.0920000000001</v>
      </c>
      <c r="V47" s="32">
        <v>1084870</v>
      </c>
      <c r="W47" s="33">
        <v>337.02080000000001</v>
      </c>
      <c r="X47" s="27">
        <v>0</v>
      </c>
      <c r="Y47" s="28">
        <v>0</v>
      </c>
      <c r="Z47" s="27">
        <v>113653533.00000003</v>
      </c>
      <c r="AA47" s="28">
        <v>35307.093000000001</v>
      </c>
      <c r="AB47" s="38">
        <v>22841685</v>
      </c>
      <c r="AC47" s="28">
        <v>7095.8950000000004</v>
      </c>
      <c r="AD47" s="37">
        <v>58130.128800000006</v>
      </c>
      <c r="AE47" s="37">
        <v>141453.14480000001</v>
      </c>
      <c r="AF47" s="16">
        <v>6388783.8486099998</v>
      </c>
      <c r="AG47" s="16">
        <v>5603483.366639182</v>
      </c>
      <c r="AH47" s="36">
        <v>397789348.85000008</v>
      </c>
      <c r="AI47" s="16">
        <v>503906609.01000017</v>
      </c>
    </row>
    <row r="48" spans="1:35" ht="50.25" customHeight="1" x14ac:dyDescent="0.25">
      <c r="A48" s="15" t="s">
        <v>40</v>
      </c>
      <c r="B48" s="13" t="s">
        <v>27</v>
      </c>
      <c r="C48" s="16">
        <v>32.299999999999997</v>
      </c>
      <c r="D48" s="16">
        <v>450</v>
      </c>
      <c r="E48" s="16">
        <v>112.95</v>
      </c>
      <c r="F48" s="16">
        <v>0.251</v>
      </c>
      <c r="G48" s="21">
        <v>593712</v>
      </c>
      <c r="H48" s="17">
        <v>149021.71</v>
      </c>
      <c r="I48" s="18">
        <v>67059769.5</v>
      </c>
      <c r="J48" s="23">
        <v>32.949999999999996</v>
      </c>
      <c r="K48" s="24">
        <v>7.3219999999999993E-2</v>
      </c>
      <c r="L48" s="25">
        <v>267170.40000000002</v>
      </c>
      <c r="M48" s="18">
        <v>19562.217000000001</v>
      </c>
      <c r="N48" s="18">
        <v>8802997.6500000004</v>
      </c>
      <c r="O48" s="18">
        <v>5135</v>
      </c>
      <c r="P48" s="26">
        <v>173718.927</v>
      </c>
      <c r="Q48" s="27">
        <v>111150</v>
      </c>
      <c r="R48" s="27"/>
      <c r="S48" s="28">
        <v>13769.028</v>
      </c>
      <c r="T48" s="32"/>
      <c r="U48" s="33">
        <v>1621.0920000000001</v>
      </c>
      <c r="V48" s="32"/>
      <c r="W48" s="33">
        <v>337.02080000000001</v>
      </c>
      <c r="X48" s="27"/>
      <c r="Y48" s="28">
        <v>0</v>
      </c>
      <c r="Z48" s="27"/>
      <c r="AA48" s="28">
        <v>35307.093000000001</v>
      </c>
      <c r="AB48" s="16"/>
      <c r="AC48" s="28">
        <v>7095.8950000000004</v>
      </c>
      <c r="AD48" s="37">
        <v>58130.128800000006</v>
      </c>
      <c r="AE48" s="37">
        <v>231849.0558</v>
      </c>
      <c r="AF48" s="16">
        <v>0</v>
      </c>
      <c r="AG48" s="16">
        <v>772510.18540502898</v>
      </c>
      <c r="AH48" s="36">
        <v>103602254.96000001</v>
      </c>
      <c r="AI48" s="16"/>
    </row>
    <row r="49" spans="1:35" ht="36" x14ac:dyDescent="0.25">
      <c r="A49" s="15" t="s">
        <v>40</v>
      </c>
      <c r="B49" s="13" t="s">
        <v>27</v>
      </c>
      <c r="C49" s="16">
        <v>1</v>
      </c>
      <c r="D49" s="16">
        <v>7</v>
      </c>
      <c r="E49" s="16">
        <v>3</v>
      </c>
      <c r="F49" s="16">
        <v>0.42857000000000001</v>
      </c>
      <c r="G49" s="21">
        <v>593712</v>
      </c>
      <c r="H49" s="16">
        <v>254447.15</v>
      </c>
      <c r="I49" s="16">
        <v>1781130.05</v>
      </c>
      <c r="J49" s="16">
        <v>1</v>
      </c>
      <c r="K49" s="16">
        <v>0.14285999999999999</v>
      </c>
      <c r="L49" s="25">
        <v>267170.40000000002</v>
      </c>
      <c r="M49" s="18">
        <v>38167.963000000003</v>
      </c>
      <c r="N49" s="18">
        <v>267175.74</v>
      </c>
      <c r="O49" s="18">
        <v>5135</v>
      </c>
      <c r="P49" s="26">
        <v>297750.11300000001</v>
      </c>
      <c r="Q49" s="27">
        <v>1729</v>
      </c>
      <c r="R49" s="16"/>
      <c r="S49" s="16">
        <v>13769.028</v>
      </c>
      <c r="T49" s="31"/>
      <c r="U49" s="24">
        <v>1621.0920000000001</v>
      </c>
      <c r="V49" s="31"/>
      <c r="W49" s="16"/>
      <c r="X49" s="16"/>
      <c r="Y49" s="16">
        <v>0</v>
      </c>
      <c r="Z49" s="16"/>
      <c r="AA49" s="16">
        <v>35307.093000000001</v>
      </c>
      <c r="AB49" s="16"/>
      <c r="AC49" s="16">
        <v>7095.8950000000004</v>
      </c>
      <c r="AD49" s="37">
        <v>57793.108000000007</v>
      </c>
      <c r="AE49" s="37">
        <v>355543.22100000002</v>
      </c>
      <c r="AF49" s="16"/>
      <c r="AG49" s="16">
        <v>12790.296565789475</v>
      </c>
      <c r="AH49" s="16">
        <v>2515005.2000000002</v>
      </c>
      <c r="AI49" s="16"/>
    </row>
    <row r="50" spans="1:35" x14ac:dyDescent="0.25">
      <c r="O50" s="105" t="s">
        <v>63</v>
      </c>
    </row>
    <row r="51" spans="1:35" x14ac:dyDescent="0.25">
      <c r="O51" s="106"/>
    </row>
    <row r="52" spans="1:35" x14ac:dyDescent="0.25">
      <c r="O52" s="106"/>
    </row>
    <row r="53" spans="1:35" ht="11.25" customHeight="1" x14ac:dyDescent="0.25">
      <c r="O53" s="106"/>
    </row>
  </sheetData>
  <mergeCells count="24">
    <mergeCell ref="A44:A45"/>
    <mergeCell ref="A15:A16"/>
    <mergeCell ref="A17:A18"/>
    <mergeCell ref="A19:A20"/>
    <mergeCell ref="A22:A24"/>
    <mergeCell ref="A25:A26"/>
    <mergeCell ref="A29:A30"/>
    <mergeCell ref="A31:A32"/>
    <mergeCell ref="A33:A34"/>
    <mergeCell ref="A38:A39"/>
    <mergeCell ref="A40:A41"/>
    <mergeCell ref="A42:A43"/>
    <mergeCell ref="AG2:AG3"/>
    <mergeCell ref="AH2:AH3"/>
    <mergeCell ref="AI2:AI3"/>
    <mergeCell ref="A5:A6"/>
    <mergeCell ref="A10:A11"/>
    <mergeCell ref="AE2:AE3"/>
    <mergeCell ref="AF2:AF3"/>
    <mergeCell ref="A13:A14"/>
    <mergeCell ref="F1:I1"/>
    <mergeCell ref="A2:A3"/>
    <mergeCell ref="B2:P2"/>
    <mergeCell ref="Q2:AD2"/>
  </mergeCells>
  <pageMargins left="0.11811023622047245" right="0.11811023622047245" top="0.15748031496062992" bottom="0.15748031496062992" header="0.31496062992125984" footer="0.31496062992125984"/>
  <pageSetup paperSize="9" orientation="landscape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2"/>
  <sheetViews>
    <sheetView topLeftCell="A40" workbookViewId="0">
      <selection activeCell="E5" sqref="E5"/>
    </sheetView>
  </sheetViews>
  <sheetFormatPr defaultColWidth="9.109375" defaultRowHeight="13.8" x14ac:dyDescent="0.25"/>
  <cols>
    <col min="1" max="1" width="16.5546875" style="2" customWidth="1"/>
    <col min="2" max="2" width="17.33203125" style="2" customWidth="1"/>
    <col min="3" max="3" width="6.5546875" style="2" customWidth="1"/>
    <col min="4" max="4" width="6.88671875" style="2" customWidth="1"/>
    <col min="5" max="5" width="13.6640625" style="2" customWidth="1"/>
    <col min="6" max="6" width="9.44140625" style="2" customWidth="1"/>
    <col min="7" max="7" width="22.88671875" style="2" customWidth="1"/>
    <col min="8" max="8" width="15.88671875" style="2" customWidth="1"/>
    <col min="9" max="9" width="9.109375" style="2" customWidth="1"/>
    <col min="10" max="10" width="13.5546875" style="2" customWidth="1"/>
    <col min="11" max="11" width="10.44140625" style="2" customWidth="1"/>
    <col min="12" max="12" width="18.44140625" style="2" customWidth="1"/>
    <col min="13" max="13" width="15.88671875" style="2" customWidth="1"/>
    <col min="14" max="14" width="7.6640625" style="2" customWidth="1"/>
    <col min="15" max="15" width="13.6640625" style="2" customWidth="1"/>
    <col min="16" max="16" width="8.88671875" style="2" customWidth="1"/>
    <col min="17" max="17" width="19.6640625" style="2" customWidth="1"/>
    <col min="18" max="18" width="15.33203125" style="2" customWidth="1"/>
    <col min="19" max="19" width="11.88671875" style="2" customWidth="1"/>
    <col min="20" max="20" width="26.88671875" style="39" customWidth="1"/>
    <col min="21" max="21" width="12.33203125" style="2" customWidth="1"/>
    <col min="22" max="22" width="13.5546875" style="2" customWidth="1"/>
    <col min="23" max="23" width="20.33203125" style="2" customWidth="1"/>
    <col min="24" max="24" width="18.6640625" style="2" customWidth="1"/>
    <col min="25" max="25" width="21.109375" style="2" customWidth="1"/>
    <col min="26" max="26" width="11" style="2" customWidth="1"/>
    <col min="27" max="27" width="20.6640625" style="2" customWidth="1"/>
    <col min="28" max="28" width="20.88671875" style="2" customWidth="1"/>
    <col min="29" max="29" width="23.5546875" style="2" customWidth="1"/>
    <col min="30" max="30" width="15.44140625" style="2" customWidth="1"/>
    <col min="31" max="31" width="19.88671875" style="2" customWidth="1"/>
    <col min="32" max="32" width="58.33203125" style="39" customWidth="1"/>
    <col min="33" max="33" width="20.5546875" style="39" customWidth="1"/>
    <col min="34" max="34" width="17" style="2" customWidth="1"/>
    <col min="35" max="35" width="9.109375" style="2"/>
    <col min="36" max="36" width="69.5546875" style="2" customWidth="1"/>
    <col min="37" max="37" width="12" style="2" customWidth="1"/>
    <col min="38" max="16384" width="9.109375" style="2"/>
  </cols>
  <sheetData>
    <row r="1" spans="1:37" ht="14.4" thickBot="1" x14ac:dyDescent="0.3">
      <c r="H1" s="113" t="s">
        <v>62</v>
      </c>
      <c r="I1" s="113"/>
      <c r="J1" s="113"/>
      <c r="K1" s="113"/>
    </row>
    <row r="2" spans="1:37" ht="19.5" customHeight="1" thickBot="1" x14ac:dyDescent="0.35">
      <c r="A2" s="132" t="s">
        <v>33</v>
      </c>
      <c r="B2" s="116" t="s">
        <v>41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7"/>
      <c r="U2" s="118" t="s">
        <v>54</v>
      </c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34" t="s">
        <v>56</v>
      </c>
      <c r="AH2" s="134" t="s">
        <v>57</v>
      </c>
      <c r="AI2" s="134" t="s">
        <v>57</v>
      </c>
      <c r="AJ2" s="134" t="s">
        <v>58</v>
      </c>
    </row>
    <row r="3" spans="1:37" s="39" customFormat="1" ht="130.5" customHeight="1" thickBot="1" x14ac:dyDescent="0.3">
      <c r="A3" s="133"/>
      <c r="B3" s="40" t="s">
        <v>25</v>
      </c>
      <c r="C3" s="41" t="s">
        <v>64</v>
      </c>
      <c r="D3" s="41" t="s">
        <v>65</v>
      </c>
      <c r="E3" s="41" t="s">
        <v>66</v>
      </c>
      <c r="F3" s="41" t="s">
        <v>34</v>
      </c>
      <c r="G3" s="41" t="s">
        <v>37</v>
      </c>
      <c r="H3" s="42" t="s">
        <v>30</v>
      </c>
      <c r="I3" s="41" t="s">
        <v>29</v>
      </c>
      <c r="J3" s="41" t="s">
        <v>67</v>
      </c>
      <c r="K3" s="41" t="s">
        <v>34</v>
      </c>
      <c r="L3" s="41" t="s">
        <v>37</v>
      </c>
      <c r="M3" s="43" t="s">
        <v>30</v>
      </c>
      <c r="N3" s="44" t="s">
        <v>31</v>
      </c>
      <c r="O3" s="44" t="s">
        <v>36</v>
      </c>
      <c r="P3" s="41" t="s">
        <v>34</v>
      </c>
      <c r="Q3" s="41" t="s">
        <v>37</v>
      </c>
      <c r="R3" s="43"/>
      <c r="S3" s="45" t="s">
        <v>38</v>
      </c>
      <c r="T3" s="45" t="s">
        <v>39</v>
      </c>
      <c r="U3" s="44" t="s">
        <v>68</v>
      </c>
      <c r="V3" s="44" t="s">
        <v>42</v>
      </c>
      <c r="W3" s="41" t="s">
        <v>43</v>
      </c>
      <c r="X3" s="46" t="s">
        <v>44</v>
      </c>
      <c r="Y3" s="41" t="s">
        <v>45</v>
      </c>
      <c r="Z3" s="44" t="s">
        <v>48</v>
      </c>
      <c r="AA3" s="41" t="s">
        <v>49</v>
      </c>
      <c r="AB3" s="44" t="s">
        <v>50</v>
      </c>
      <c r="AC3" s="41" t="s">
        <v>51</v>
      </c>
      <c r="AD3" s="44" t="s">
        <v>52</v>
      </c>
      <c r="AE3" s="41" t="s">
        <v>53</v>
      </c>
      <c r="AF3" s="47" t="s">
        <v>55</v>
      </c>
      <c r="AG3" s="135"/>
      <c r="AH3" s="135"/>
      <c r="AI3" s="135"/>
      <c r="AJ3" s="136"/>
      <c r="AK3" s="48" t="s">
        <v>69</v>
      </c>
    </row>
    <row r="4" spans="1:37" ht="39" customHeight="1" x14ac:dyDescent="0.25">
      <c r="A4" s="11"/>
      <c r="B4" s="12"/>
      <c r="C4" s="12"/>
      <c r="D4" s="12"/>
      <c r="E4" s="12"/>
      <c r="F4" s="12"/>
      <c r="G4" s="12"/>
      <c r="I4" s="14"/>
      <c r="J4" s="14"/>
      <c r="K4" s="14"/>
      <c r="L4" s="14"/>
      <c r="M4" s="14"/>
      <c r="N4" s="99"/>
      <c r="O4" s="99"/>
      <c r="P4" s="99"/>
      <c r="Q4" s="99"/>
      <c r="R4" s="14" t="s">
        <v>30</v>
      </c>
      <c r="S4" s="14"/>
      <c r="T4" s="42"/>
      <c r="U4" s="101"/>
      <c r="V4" s="101"/>
      <c r="W4" s="101"/>
      <c r="X4" s="14"/>
      <c r="Y4" s="14"/>
      <c r="Z4" s="16"/>
      <c r="AA4" s="14"/>
      <c r="AB4" s="14"/>
      <c r="AC4" s="14"/>
      <c r="AD4" s="14"/>
      <c r="AE4" s="14"/>
      <c r="AF4" s="42"/>
      <c r="AG4" s="107"/>
      <c r="AH4" s="108"/>
      <c r="AI4" s="108"/>
      <c r="AJ4" s="109"/>
      <c r="AK4" s="16"/>
    </row>
    <row r="5" spans="1:37" ht="60" customHeight="1" x14ac:dyDescent="0.25">
      <c r="A5" s="137" t="s">
        <v>70</v>
      </c>
      <c r="B5" s="13" t="s">
        <v>26</v>
      </c>
      <c r="C5" s="14">
        <v>100</v>
      </c>
      <c r="D5" s="14"/>
      <c r="E5" s="14">
        <f>ROUND((D5/C5),5)</f>
        <v>0</v>
      </c>
      <c r="F5" s="53"/>
      <c r="G5" s="49">
        <f>ROUND((E5*F5),2)</f>
        <v>0</v>
      </c>
      <c r="H5" s="50">
        <f>C5*G5</f>
        <v>0</v>
      </c>
      <c r="I5" s="51">
        <v>9.65</v>
      </c>
      <c r="J5" s="14">
        <f>ROUND((I5/C5),5)</f>
        <v>9.6500000000000002E-2</v>
      </c>
      <c r="K5" s="51">
        <f>ROUND((38000*1.302*12),1)</f>
        <v>593712</v>
      </c>
      <c r="L5" s="51">
        <f>ROUND((J5*K5),2)</f>
        <v>57293.21</v>
      </c>
      <c r="M5" s="51">
        <f>C5*L5</f>
        <v>5729321</v>
      </c>
      <c r="N5" s="52">
        <v>4.7</v>
      </c>
      <c r="O5" s="14">
        <f>ROUND((N5/C5),5)</f>
        <v>4.7E-2</v>
      </c>
      <c r="P5" s="53">
        <f>ROUND((17100*12*1.302),1)</f>
        <v>267170.40000000002</v>
      </c>
      <c r="Q5" s="54">
        <f>ROUND((O5*P5),4)</f>
        <v>12557.0088</v>
      </c>
      <c r="R5" s="51">
        <f>C5*Q5</f>
        <v>1255700.8799999999</v>
      </c>
      <c r="S5" s="51">
        <f>'[1]ФОТ на 2023'!S6/([1]свод!C5+[1]свод!C6+[1]свод!C7+[1]свод!C8+[1]свод!C9+[1]свод!C10)*10%*1000</f>
        <v>4900.9949409780784</v>
      </c>
      <c r="T5" s="55">
        <f>G5+L5+Q5+S5</f>
        <v>74751.213740978084</v>
      </c>
      <c r="U5" s="56">
        <f>210*C5</f>
        <v>21000</v>
      </c>
      <c r="V5" s="57">
        <v>4210099.9999999991</v>
      </c>
      <c r="W5" s="58">
        <f>ROUND(((V5/(U5+U6+U7+U8+U9+U10))*(35*6)),3)</f>
        <v>7099.6629999999996</v>
      </c>
      <c r="X5" s="14">
        <v>378360</v>
      </c>
      <c r="Y5" s="58">
        <f>ROUND((($X$5/($U$5+$U$6+$U$7+$U$8+$U$9+$U$10))*(35*6)),3)</f>
        <v>638.04399999999998</v>
      </c>
      <c r="Z5" s="14">
        <v>0</v>
      </c>
      <c r="AA5" s="58">
        <f>ROUND(((Z5/(U5+U6+U7+U8+U9+U10))*(35*6)),3)</f>
        <v>0</v>
      </c>
      <c r="AB5" s="14">
        <f>ROUND((('[1]ФОТ на 2023'!M6+'[1]ФОТ на 2023'!M7+'[1]ФОТ на 2023'!P6+'[1]ФОТ на 2023'!P7+'[1]ФОТ на 2023'!V6+'[1]ФОТ на 2023'!V7+'[1]ФОТ на 2023'!Y6+'[1]ФОТ на 2023'!Y7)*1.302*1000),1)</f>
        <v>13426224</v>
      </c>
      <c r="AC5" s="58">
        <f>ROUND((($AB$5/($U$5+$U$6+$U$7+$U$8+$U$9+$U$10))*(35*6)),3)</f>
        <v>22641.187000000002</v>
      </c>
      <c r="AD5" s="14">
        <v>940900</v>
      </c>
      <c r="AE5" s="58">
        <f>ROUND((($AD$5/($U$5+$U$6+$U$7+$U$8+$U$9+$U$10))*(35*6)),3)</f>
        <v>1586.6780000000001</v>
      </c>
      <c r="AF5" s="59">
        <f>W5+Y5+AA5+AC5+AE5</f>
        <v>31965.572</v>
      </c>
      <c r="AG5" s="59">
        <f>T5+AF5</f>
        <v>106716.78574097808</v>
      </c>
      <c r="AH5" s="14">
        <v>282781.478</v>
      </c>
      <c r="AI5" s="14">
        <f>(AH5/(C5+C6+C7+C8+C9+C10))*C5</f>
        <v>47686.589881956155</v>
      </c>
      <c r="AJ5" s="60">
        <f t="shared" ref="AJ5:AJ63" si="0">ROUND(((AG5*C5)+AI5),2)</f>
        <v>10719365.16</v>
      </c>
      <c r="AK5" s="16">
        <f>ROUND(((AJ5+AJ6+AJ7+AJ8+AJ9+AJ10)/1000),1)</f>
        <v>44519.6</v>
      </c>
    </row>
    <row r="6" spans="1:37" ht="48" x14ac:dyDescent="0.25">
      <c r="A6" s="138"/>
      <c r="B6" s="13" t="s">
        <v>71</v>
      </c>
      <c r="C6" s="14">
        <v>213</v>
      </c>
      <c r="D6" s="14">
        <v>13</v>
      </c>
      <c r="E6" s="14">
        <f>ROUND((D6/C6),5)</f>
        <v>6.1030000000000001E-2</v>
      </c>
      <c r="F6" s="53">
        <f>27866*1.302*12</f>
        <v>435378.38399999996</v>
      </c>
      <c r="G6" s="49">
        <f>ROUND((E6*F6),2)</f>
        <v>26571.14</v>
      </c>
      <c r="H6" s="50">
        <f>C6*G6</f>
        <v>5659652.8200000003</v>
      </c>
      <c r="I6" s="51">
        <v>1</v>
      </c>
      <c r="J6" s="14">
        <f>ROUND((I6/C6),5)</f>
        <v>4.6899999999999997E-3</v>
      </c>
      <c r="K6" s="51">
        <f>ROUND((21420*1.302*12),1)</f>
        <v>334666.09999999998</v>
      </c>
      <c r="L6" s="51">
        <f>ROUND((J6*K6),1)</f>
        <v>1569.6</v>
      </c>
      <c r="M6" s="51">
        <f>C6*L6</f>
        <v>334324.8</v>
      </c>
      <c r="N6" s="110"/>
      <c r="O6" s="61"/>
      <c r="P6" s="53"/>
      <c r="Q6" s="51"/>
      <c r="R6" s="51"/>
      <c r="S6" s="51">
        <f>S5</f>
        <v>4900.9949409780784</v>
      </c>
      <c r="T6" s="55">
        <f>G6+L6+Q6+S6</f>
        <v>33041.734940978073</v>
      </c>
      <c r="U6" s="56">
        <f t="shared" ref="U6:U72" si="1">210*C6</f>
        <v>44730</v>
      </c>
      <c r="V6" s="57"/>
      <c r="W6" s="58">
        <f>ROUND(((V5/(U5+U6+U7+U8+U9+U10))*(35*6)),3)</f>
        <v>7099.6629999999996</v>
      </c>
      <c r="X6" s="14"/>
      <c r="Y6" s="58">
        <f t="shared" ref="Y6:Y10" si="2">ROUND((($X$5/($U$5+$U$6+$U$7+$U$8+$U$9+$U$10))*(35*6)),3)</f>
        <v>638.04399999999998</v>
      </c>
      <c r="Z6" s="14"/>
      <c r="AA6" s="14"/>
      <c r="AB6" s="14"/>
      <c r="AC6" s="58">
        <f t="shared" ref="AC6:AC10" si="3">ROUND((($AB$5/($U$5+$U$6+$U$7+$U$8+$U$9+$U$10))*(35*6)),3)</f>
        <v>22641.187000000002</v>
      </c>
      <c r="AD6" s="14"/>
      <c r="AE6" s="58">
        <f t="shared" ref="AE6:AE10" si="4">ROUND((($AD$5/($U$5+$U$6+$U$7+$U$8+$U$9+$U$10))*(35*6)),3)</f>
        <v>1586.6780000000001</v>
      </c>
      <c r="AF6" s="59">
        <f t="shared" ref="AF6:AF69" si="5">W6+Y6+AA6+AC6+AE6</f>
        <v>31965.572</v>
      </c>
      <c r="AG6" s="59">
        <f t="shared" ref="AG6:AG72" si="6">T6+AF6</f>
        <v>65007.306940978073</v>
      </c>
      <c r="AH6" s="14"/>
      <c r="AI6" s="14">
        <f>(AH5/(C5+C6+C7+C8+C9+C10))*C6</f>
        <v>101572.43644856662</v>
      </c>
      <c r="AJ6" s="60">
        <f t="shared" si="0"/>
        <v>13948128.810000001</v>
      </c>
      <c r="AK6" s="16"/>
    </row>
    <row r="7" spans="1:37" ht="52.5" customHeight="1" x14ac:dyDescent="0.25">
      <c r="A7" s="138"/>
      <c r="B7" s="13" t="s">
        <v>72</v>
      </c>
      <c r="C7" s="14">
        <v>221</v>
      </c>
      <c r="D7" s="14">
        <v>13.66</v>
      </c>
      <c r="E7" s="14">
        <f t="shared" ref="E7:E72" si="7">ROUND((D7/C7),5)</f>
        <v>6.1809999999999997E-2</v>
      </c>
      <c r="F7" s="53">
        <f t="shared" ref="F7:F70" si="8">27866*1.302*12</f>
        <v>435378.38399999996</v>
      </c>
      <c r="G7" s="49">
        <f t="shared" ref="G7:G33" si="9">ROUND((E7*F7),2)</f>
        <v>26910.74</v>
      </c>
      <c r="H7" s="50">
        <f t="shared" ref="H7:H33" si="10">C7*G7</f>
        <v>5947273.54</v>
      </c>
      <c r="I7" s="51">
        <v>1</v>
      </c>
      <c r="J7" s="14">
        <f t="shared" ref="J7:J72" si="11">ROUND((I7/C7),5)</f>
        <v>4.5199999999999997E-3</v>
      </c>
      <c r="K7" s="51">
        <f t="shared" ref="K7:K33" si="12">ROUND((21420*1.302*12),1)</f>
        <v>334666.09999999998</v>
      </c>
      <c r="L7" s="51">
        <f>ROUND((J7*K7),1)</f>
        <v>1512.7</v>
      </c>
      <c r="M7" s="51">
        <f t="shared" ref="M7:M71" si="13">C7*L7</f>
        <v>334306.7</v>
      </c>
      <c r="N7" s="110"/>
      <c r="O7" s="61"/>
      <c r="P7" s="53"/>
      <c r="Q7" s="51"/>
      <c r="R7" s="51"/>
      <c r="S7" s="51">
        <f>S5</f>
        <v>4900.9949409780784</v>
      </c>
      <c r="T7" s="55">
        <f t="shared" ref="T7:T72" si="14">G7+L7+Q7+S7</f>
        <v>33324.434940978084</v>
      </c>
      <c r="U7" s="56">
        <f t="shared" si="1"/>
        <v>46410</v>
      </c>
      <c r="V7" s="57"/>
      <c r="W7" s="58">
        <f>ROUND((($V$5/($U$5+$U$6+$U$7+$U$8+$U$9+$U$10))*(35*6)),3)</f>
        <v>7099.6629999999996</v>
      </c>
      <c r="X7" s="14"/>
      <c r="Y7" s="58">
        <f t="shared" si="2"/>
        <v>638.04399999999998</v>
      </c>
      <c r="Z7" s="14"/>
      <c r="AA7" s="14"/>
      <c r="AB7" s="14"/>
      <c r="AC7" s="58">
        <f t="shared" si="3"/>
        <v>22641.187000000002</v>
      </c>
      <c r="AD7" s="14"/>
      <c r="AE7" s="58">
        <f t="shared" si="4"/>
        <v>1586.6780000000001</v>
      </c>
      <c r="AF7" s="59">
        <f t="shared" si="5"/>
        <v>31965.572</v>
      </c>
      <c r="AG7" s="59">
        <f t="shared" si="6"/>
        <v>65290.006940978084</v>
      </c>
      <c r="AH7" s="14"/>
      <c r="AI7" s="14">
        <f>(AH5/(C5+C6+C7+C8+C9+C10))*C7</f>
        <v>105387.3636391231</v>
      </c>
      <c r="AJ7" s="60">
        <f t="shared" si="0"/>
        <v>14534478.9</v>
      </c>
      <c r="AK7" s="16"/>
    </row>
    <row r="8" spans="1:37" ht="84" customHeight="1" x14ac:dyDescent="0.25">
      <c r="A8" s="138"/>
      <c r="B8" s="13" t="s">
        <v>73</v>
      </c>
      <c r="C8" s="14">
        <v>23</v>
      </c>
      <c r="D8" s="14">
        <v>2</v>
      </c>
      <c r="E8" s="14">
        <f t="shared" si="7"/>
        <v>8.6959999999999996E-2</v>
      </c>
      <c r="F8" s="53">
        <f t="shared" si="8"/>
        <v>435378.38399999996</v>
      </c>
      <c r="G8" s="49">
        <f t="shared" si="9"/>
        <v>37860.5</v>
      </c>
      <c r="H8" s="50">
        <f>C8*G8</f>
        <v>870791.5</v>
      </c>
      <c r="I8" s="51">
        <v>0.5</v>
      </c>
      <c r="J8" s="14">
        <f t="shared" si="11"/>
        <v>2.1739999999999999E-2</v>
      </c>
      <c r="K8" s="51">
        <f t="shared" si="12"/>
        <v>334666.09999999998</v>
      </c>
      <c r="L8" s="51">
        <f>ROUND((J8*K8),1)</f>
        <v>7275.6</v>
      </c>
      <c r="M8" s="51">
        <f>C8*L8</f>
        <v>167338.80000000002</v>
      </c>
      <c r="N8" s="110"/>
      <c r="O8" s="61"/>
      <c r="P8" s="53"/>
      <c r="Q8" s="51"/>
      <c r="R8" s="51"/>
      <c r="S8" s="51">
        <f>S5</f>
        <v>4900.9949409780784</v>
      </c>
      <c r="T8" s="55">
        <f t="shared" si="14"/>
        <v>50037.094940978073</v>
      </c>
      <c r="U8" s="56">
        <f t="shared" si="1"/>
        <v>4830</v>
      </c>
      <c r="V8" s="57"/>
      <c r="W8" s="58">
        <f>ROUND((($V$5/($U$5+$U$6+$U$7+$U$8+$U$9+$U$10))*(35*6)),3)</f>
        <v>7099.6629999999996</v>
      </c>
      <c r="X8" s="14"/>
      <c r="Y8" s="58">
        <f t="shared" si="2"/>
        <v>638.04399999999998</v>
      </c>
      <c r="Z8" s="14"/>
      <c r="AA8" s="14"/>
      <c r="AB8" s="14"/>
      <c r="AC8" s="58">
        <f t="shared" si="3"/>
        <v>22641.187000000002</v>
      </c>
      <c r="AD8" s="14"/>
      <c r="AE8" s="58">
        <f t="shared" si="4"/>
        <v>1586.6780000000001</v>
      </c>
      <c r="AF8" s="59">
        <f t="shared" si="5"/>
        <v>31965.572</v>
      </c>
      <c r="AG8" s="59">
        <f t="shared" si="6"/>
        <v>82002.666940978073</v>
      </c>
      <c r="AH8" s="14"/>
      <c r="AI8" s="14">
        <f>(AH5/(C5+C6+C7+C8+C9+C10))*C8</f>
        <v>10967.915672849917</v>
      </c>
      <c r="AJ8" s="60">
        <f t="shared" si="0"/>
        <v>1897029.26</v>
      </c>
      <c r="AK8" s="16"/>
    </row>
    <row r="9" spans="1:37" ht="60" customHeight="1" x14ac:dyDescent="0.25">
      <c r="A9" s="138"/>
      <c r="B9" s="13" t="s">
        <v>74</v>
      </c>
      <c r="C9" s="14">
        <v>0</v>
      </c>
      <c r="D9" s="14">
        <v>0</v>
      </c>
      <c r="E9" s="14">
        <v>0</v>
      </c>
      <c r="F9" s="53">
        <f t="shared" si="8"/>
        <v>435378.38399999996</v>
      </c>
      <c r="G9" s="49">
        <f t="shared" si="9"/>
        <v>0</v>
      </c>
      <c r="H9" s="50">
        <v>0</v>
      </c>
      <c r="I9" s="51">
        <v>0</v>
      </c>
      <c r="J9" s="14">
        <v>0</v>
      </c>
      <c r="K9" s="51">
        <f t="shared" si="12"/>
        <v>334666.09999999998</v>
      </c>
      <c r="L9" s="51">
        <f t="shared" ref="L9:L10" si="15">ROUND((J9*K9),1)</f>
        <v>0</v>
      </c>
      <c r="M9" s="51">
        <f t="shared" si="13"/>
        <v>0</v>
      </c>
      <c r="N9" s="110"/>
      <c r="O9" s="61"/>
      <c r="P9" s="53"/>
      <c r="Q9" s="51"/>
      <c r="R9" s="51"/>
      <c r="S9" s="51"/>
      <c r="T9" s="55">
        <f t="shared" si="14"/>
        <v>0</v>
      </c>
      <c r="U9" s="56">
        <f t="shared" si="1"/>
        <v>0</v>
      </c>
      <c r="V9" s="57"/>
      <c r="W9" s="58"/>
      <c r="X9" s="14"/>
      <c r="Y9" s="58"/>
      <c r="Z9" s="14"/>
      <c r="AA9" s="14"/>
      <c r="AB9" s="14"/>
      <c r="AC9" s="58"/>
      <c r="AD9" s="14"/>
      <c r="AE9" s="58"/>
      <c r="AF9" s="59">
        <f t="shared" si="5"/>
        <v>0</v>
      </c>
      <c r="AG9" s="59">
        <f t="shared" si="6"/>
        <v>0</v>
      </c>
      <c r="AH9" s="14"/>
      <c r="AI9" s="14">
        <f>(AH5/(C5+C6+C7+C8+C9+C10))*C9</f>
        <v>0</v>
      </c>
      <c r="AJ9" s="60">
        <f t="shared" si="0"/>
        <v>0</v>
      </c>
      <c r="AK9" s="16"/>
    </row>
    <row r="10" spans="1:37" ht="82.5" customHeight="1" x14ac:dyDescent="0.25">
      <c r="A10" s="139"/>
      <c r="B10" s="13" t="s">
        <v>75</v>
      </c>
      <c r="C10" s="14">
        <v>36</v>
      </c>
      <c r="D10" s="14">
        <v>4</v>
      </c>
      <c r="E10" s="14">
        <f t="shared" si="7"/>
        <v>0.11111</v>
      </c>
      <c r="F10" s="53">
        <f t="shared" si="8"/>
        <v>435378.38399999996</v>
      </c>
      <c r="G10" s="49">
        <f t="shared" si="9"/>
        <v>48374.89</v>
      </c>
      <c r="H10" s="50">
        <f t="shared" si="10"/>
        <v>1741496.04</v>
      </c>
      <c r="I10" s="51">
        <v>1</v>
      </c>
      <c r="J10" s="14">
        <f t="shared" si="11"/>
        <v>2.7779999999999999E-2</v>
      </c>
      <c r="K10" s="51">
        <f t="shared" si="12"/>
        <v>334666.09999999998</v>
      </c>
      <c r="L10" s="51">
        <f t="shared" si="15"/>
        <v>9297</v>
      </c>
      <c r="M10" s="51">
        <f>C10*L10</f>
        <v>334692</v>
      </c>
      <c r="N10" s="110"/>
      <c r="O10" s="61"/>
      <c r="P10" s="53"/>
      <c r="Q10" s="51"/>
      <c r="R10" s="51"/>
      <c r="S10" s="51">
        <f>S5</f>
        <v>4900.9949409780784</v>
      </c>
      <c r="T10" s="55">
        <f t="shared" si="14"/>
        <v>62572.884940978081</v>
      </c>
      <c r="U10" s="56">
        <f t="shared" si="1"/>
        <v>7560</v>
      </c>
      <c r="V10" s="57"/>
      <c r="W10" s="58">
        <f t="shared" ref="W10" si="16">ROUND((($V$5/($U$5+$U$6+$U$7+$U$8+$U$9+$U$10))*(35*6)),3)</f>
        <v>7099.6629999999996</v>
      </c>
      <c r="X10" s="14"/>
      <c r="Y10" s="58">
        <f t="shared" si="2"/>
        <v>638.04399999999998</v>
      </c>
      <c r="Z10" s="14"/>
      <c r="AA10" s="14"/>
      <c r="AB10" s="14"/>
      <c r="AC10" s="58">
        <f t="shared" si="3"/>
        <v>22641.187000000002</v>
      </c>
      <c r="AD10" s="14"/>
      <c r="AE10" s="58">
        <f t="shared" si="4"/>
        <v>1586.6780000000001</v>
      </c>
      <c r="AF10" s="59">
        <f t="shared" si="5"/>
        <v>31965.572</v>
      </c>
      <c r="AG10" s="59">
        <f t="shared" si="6"/>
        <v>94538.456940978082</v>
      </c>
      <c r="AH10" s="14"/>
      <c r="AI10" s="14">
        <f>(AH5/(C5+C6+C7+C8+C9+C10))*C10</f>
        <v>17167.172357504216</v>
      </c>
      <c r="AJ10" s="60">
        <f t="shared" si="0"/>
        <v>3420551.62</v>
      </c>
      <c r="AK10" s="16"/>
    </row>
    <row r="11" spans="1:37" ht="64.5" customHeight="1" x14ac:dyDescent="0.25">
      <c r="A11" s="129" t="s">
        <v>76</v>
      </c>
      <c r="B11" s="13" t="s">
        <v>71</v>
      </c>
      <c r="C11" s="14">
        <v>245</v>
      </c>
      <c r="D11" s="14">
        <v>15.81</v>
      </c>
      <c r="E11" s="14">
        <f t="shared" si="7"/>
        <v>6.4530000000000004E-2</v>
      </c>
      <c r="F11" s="53">
        <f t="shared" si="8"/>
        <v>435378.38399999996</v>
      </c>
      <c r="G11" s="49">
        <f>ROUND((E11*F11),2)</f>
        <v>28094.97</v>
      </c>
      <c r="H11" s="50">
        <f t="shared" si="10"/>
        <v>6883267.6500000004</v>
      </c>
      <c r="I11" s="51">
        <v>1</v>
      </c>
      <c r="J11" s="14">
        <f t="shared" si="11"/>
        <v>4.0800000000000003E-3</v>
      </c>
      <c r="K11" s="51">
        <f t="shared" si="12"/>
        <v>334666.09999999998</v>
      </c>
      <c r="L11" s="51">
        <f>ROUND((J11*K11),1)</f>
        <v>1365.4</v>
      </c>
      <c r="M11" s="51">
        <f t="shared" si="13"/>
        <v>334523</v>
      </c>
      <c r="N11" s="110"/>
      <c r="O11" s="61"/>
      <c r="P11" s="53"/>
      <c r="Q11" s="51"/>
      <c r="R11" s="51"/>
      <c r="S11" s="51">
        <f>'[1]ФОТ на 2023'!S8/([1]свод!C11+[1]свод!C12+[1]свод!C13+[1]свод!C14)*10%*1000</f>
        <v>4934.0640000000003</v>
      </c>
      <c r="T11" s="55">
        <f t="shared" si="14"/>
        <v>34394.434000000001</v>
      </c>
      <c r="U11" s="56">
        <f t="shared" si="1"/>
        <v>51450</v>
      </c>
      <c r="V11" s="57">
        <v>3362000</v>
      </c>
      <c r="W11" s="58">
        <f>ROUND((($V$11/($U$11+$U$12+$U$13+$U$14))*(35*6)),3)</f>
        <v>5379.2</v>
      </c>
      <c r="X11" s="14">
        <v>342820</v>
      </c>
      <c r="Y11" s="58">
        <f>ROUND((($X$11/($U$11+$U$12+$U$13+$U$14))*(35*6)),3)</f>
        <v>548.51199999999994</v>
      </c>
      <c r="Z11" s="14"/>
      <c r="AA11" s="58">
        <f>ROUND(((Z11/(U11+U12+U13+U14))*(35*6)),3)</f>
        <v>0</v>
      </c>
      <c r="AB11" s="14">
        <f>ROUND((('[1]ФОТ на 2023'!M8+'[1]ФОТ на 2023'!P8+'[1]ФОТ на 2023'!V8+'[1]ФОТ на 2023'!Y8)*1.302*1000),1)</f>
        <v>10674837.6</v>
      </c>
      <c r="AC11" s="58">
        <f>ROUND((($AB$11/($U$11+$U$12+$U$13+$U$14))*(35*6)),3)</f>
        <v>17079.740000000002</v>
      </c>
      <c r="AD11" s="14">
        <v>258500</v>
      </c>
      <c r="AE11" s="58">
        <f>ROUND((($AD$11/($U$11+$U$12+$U$13+$U$14))*(35*6)),3)</f>
        <v>413.6</v>
      </c>
      <c r="AF11" s="59">
        <f t="shared" si="5"/>
        <v>23421.052</v>
      </c>
      <c r="AG11" s="59">
        <f t="shared" si="6"/>
        <v>57815.486000000004</v>
      </c>
      <c r="AH11" s="14">
        <v>222118.53600000002</v>
      </c>
      <c r="AI11" s="14">
        <f>(AH11/(C11+C12+C13+C14))*C11</f>
        <v>87070.466112000009</v>
      </c>
      <c r="AJ11" s="60">
        <f>ROUND(((AG11*C11)+AI11),2)</f>
        <v>14251864.539999999</v>
      </c>
      <c r="AK11" s="16">
        <f>ROUND(((AJ11+AJ12+AJ13+AJ14)/1000),1)</f>
        <v>42004.9</v>
      </c>
    </row>
    <row r="12" spans="1:37" ht="82.5" customHeight="1" x14ac:dyDescent="0.25">
      <c r="A12" s="130"/>
      <c r="B12" s="13" t="s">
        <v>77</v>
      </c>
      <c r="C12" s="14">
        <v>17</v>
      </c>
      <c r="D12" s="14">
        <v>1.7</v>
      </c>
      <c r="E12" s="14">
        <f t="shared" si="7"/>
        <v>0.1</v>
      </c>
      <c r="F12" s="53">
        <f t="shared" si="8"/>
        <v>435378.38399999996</v>
      </c>
      <c r="G12" s="49">
        <f t="shared" si="9"/>
        <v>43537.84</v>
      </c>
      <c r="H12" s="50">
        <f t="shared" si="10"/>
        <v>740143.27999999991</v>
      </c>
      <c r="I12" s="51">
        <v>0.2</v>
      </c>
      <c r="J12" s="14">
        <f t="shared" si="11"/>
        <v>1.176E-2</v>
      </c>
      <c r="K12" s="51">
        <f t="shared" si="12"/>
        <v>334666.09999999998</v>
      </c>
      <c r="L12" s="51">
        <f t="shared" ref="L12:L71" si="17">ROUND((J12*K12),1)</f>
        <v>3935.7</v>
      </c>
      <c r="M12" s="51">
        <f t="shared" si="13"/>
        <v>66906.899999999994</v>
      </c>
      <c r="N12" s="110"/>
      <c r="O12" s="61"/>
      <c r="P12" s="53"/>
      <c r="Q12" s="51"/>
      <c r="R12" s="51"/>
      <c r="S12" s="51">
        <f>S11</f>
        <v>4934.0640000000003</v>
      </c>
      <c r="T12" s="55">
        <f t="shared" si="14"/>
        <v>52407.603999999992</v>
      </c>
      <c r="U12" s="56">
        <f t="shared" si="1"/>
        <v>3570</v>
      </c>
      <c r="V12" s="57"/>
      <c r="W12" s="58">
        <f t="shared" ref="W12:W14" si="18">ROUND((($V$11/($U$11+$U$12+$U$13+$U$14))*(35*6)),3)</f>
        <v>5379.2</v>
      </c>
      <c r="X12" s="14"/>
      <c r="Y12" s="58">
        <f t="shared" ref="Y12:Y14" si="19">ROUND((($X$11/($U$11+$U$12+$U$13+$U$14))*(35*6)),3)</f>
        <v>548.51199999999994</v>
      </c>
      <c r="Z12" s="14"/>
      <c r="AA12" s="14"/>
      <c r="AB12" s="14"/>
      <c r="AC12" s="58">
        <f t="shared" ref="AC12:AC14" si="20">ROUND((($AB$11/($U$11+$U$12+$U$13+$U$14))*(35*6)),3)</f>
        <v>17079.740000000002</v>
      </c>
      <c r="AD12" s="14"/>
      <c r="AE12" s="58">
        <f t="shared" ref="AE12:AE14" si="21">ROUND((($AD$11/($U$11+$U$12+$U$13+$U$14))*(35*6)),3)</f>
        <v>413.6</v>
      </c>
      <c r="AF12" s="59">
        <f t="shared" si="5"/>
        <v>23421.052</v>
      </c>
      <c r="AG12" s="59">
        <f>T12+AF12</f>
        <v>75828.655999999988</v>
      </c>
      <c r="AH12" s="14"/>
      <c r="AI12" s="14">
        <f>(AH11/(C11+C12+C13+C14))*C12</f>
        <v>6041.6241792000001</v>
      </c>
      <c r="AJ12" s="60">
        <f t="shared" si="0"/>
        <v>1295128.78</v>
      </c>
      <c r="AK12" s="16"/>
    </row>
    <row r="13" spans="1:37" ht="57.75" customHeight="1" x14ac:dyDescent="0.25">
      <c r="A13" s="130"/>
      <c r="B13" s="13" t="s">
        <v>72</v>
      </c>
      <c r="C13" s="14">
        <v>317</v>
      </c>
      <c r="D13" s="14">
        <v>28.62</v>
      </c>
      <c r="E13" s="14">
        <f t="shared" si="7"/>
        <v>9.0279999999999999E-2</v>
      </c>
      <c r="F13" s="53">
        <f t="shared" si="8"/>
        <v>435378.38399999996</v>
      </c>
      <c r="G13" s="49">
        <f t="shared" si="9"/>
        <v>39305.96</v>
      </c>
      <c r="H13" s="50">
        <f t="shared" si="10"/>
        <v>12459989.32</v>
      </c>
      <c r="I13" s="51">
        <v>1.3</v>
      </c>
      <c r="J13" s="14">
        <f t="shared" si="11"/>
        <v>4.1000000000000003E-3</v>
      </c>
      <c r="K13" s="51">
        <f t="shared" si="12"/>
        <v>334666.09999999998</v>
      </c>
      <c r="L13" s="51">
        <f t="shared" si="17"/>
        <v>1372.1</v>
      </c>
      <c r="M13" s="51">
        <f t="shared" si="13"/>
        <v>434955.69999999995</v>
      </c>
      <c r="N13" s="110"/>
      <c r="O13" s="61"/>
      <c r="P13" s="53"/>
      <c r="Q13" s="51"/>
      <c r="R13" s="51"/>
      <c r="S13" s="51">
        <f>S11</f>
        <v>4934.0640000000003</v>
      </c>
      <c r="T13" s="55">
        <f t="shared" si="14"/>
        <v>45612.123999999996</v>
      </c>
      <c r="U13" s="56">
        <f t="shared" si="1"/>
        <v>66570</v>
      </c>
      <c r="V13" s="57"/>
      <c r="W13" s="58">
        <f t="shared" si="18"/>
        <v>5379.2</v>
      </c>
      <c r="X13" s="14"/>
      <c r="Y13" s="58">
        <f t="shared" si="19"/>
        <v>548.51199999999994</v>
      </c>
      <c r="Z13" s="14"/>
      <c r="AA13" s="14"/>
      <c r="AB13" s="14"/>
      <c r="AC13" s="58">
        <f t="shared" si="20"/>
        <v>17079.740000000002</v>
      </c>
      <c r="AD13" s="14"/>
      <c r="AE13" s="58">
        <f t="shared" si="21"/>
        <v>413.6</v>
      </c>
      <c r="AF13" s="59">
        <f t="shared" si="5"/>
        <v>23421.052</v>
      </c>
      <c r="AG13" s="59">
        <f t="shared" si="6"/>
        <v>69033.175999999992</v>
      </c>
      <c r="AH13" s="14"/>
      <c r="AI13" s="14">
        <f>(AH11/(C11+C12+C13+C14))*C13</f>
        <v>112658.52145920001</v>
      </c>
      <c r="AJ13" s="60">
        <f t="shared" si="0"/>
        <v>21996175.309999999</v>
      </c>
      <c r="AK13" s="16"/>
    </row>
    <row r="14" spans="1:37" ht="53.25" customHeight="1" x14ac:dyDescent="0.25">
      <c r="A14" s="131"/>
      <c r="B14" s="13" t="s">
        <v>74</v>
      </c>
      <c r="C14" s="14">
        <v>46</v>
      </c>
      <c r="D14" s="14">
        <v>6.83</v>
      </c>
      <c r="E14" s="14">
        <f t="shared" si="7"/>
        <v>0.14848</v>
      </c>
      <c r="F14" s="53">
        <f t="shared" si="8"/>
        <v>435378.38399999996</v>
      </c>
      <c r="G14" s="49">
        <f t="shared" si="9"/>
        <v>64644.98</v>
      </c>
      <c r="H14" s="50">
        <f t="shared" si="10"/>
        <v>2973669.08</v>
      </c>
      <c r="I14" s="51">
        <v>0.5</v>
      </c>
      <c r="J14" s="14">
        <f t="shared" si="11"/>
        <v>1.0869999999999999E-2</v>
      </c>
      <c r="K14" s="51">
        <f t="shared" si="12"/>
        <v>334666.09999999998</v>
      </c>
      <c r="L14" s="51">
        <f t="shared" si="17"/>
        <v>3637.8</v>
      </c>
      <c r="M14" s="51">
        <f t="shared" si="13"/>
        <v>167338.80000000002</v>
      </c>
      <c r="N14" s="51"/>
      <c r="O14" s="61"/>
      <c r="P14" s="53"/>
      <c r="Q14" s="51"/>
      <c r="R14" s="51"/>
      <c r="S14" s="51">
        <f>S11</f>
        <v>4934.0640000000003</v>
      </c>
      <c r="T14" s="55">
        <f t="shared" si="14"/>
        <v>73216.843999999997</v>
      </c>
      <c r="U14" s="56">
        <f t="shared" si="1"/>
        <v>9660</v>
      </c>
      <c r="V14" s="57"/>
      <c r="W14" s="58">
        <f t="shared" si="18"/>
        <v>5379.2</v>
      </c>
      <c r="X14" s="14"/>
      <c r="Y14" s="58">
        <f t="shared" si="19"/>
        <v>548.51199999999994</v>
      </c>
      <c r="Z14" s="14"/>
      <c r="AA14" s="14"/>
      <c r="AB14" s="14"/>
      <c r="AC14" s="58">
        <f t="shared" si="20"/>
        <v>17079.740000000002</v>
      </c>
      <c r="AD14" s="14"/>
      <c r="AE14" s="58">
        <f t="shared" si="21"/>
        <v>413.6</v>
      </c>
      <c r="AF14" s="59">
        <f t="shared" si="5"/>
        <v>23421.052</v>
      </c>
      <c r="AG14" s="59">
        <f t="shared" si="6"/>
        <v>96637.895999999993</v>
      </c>
      <c r="AH14" s="14"/>
      <c r="AI14" s="14">
        <f>(AH11/(C11+C12+C13+C14))*C14</f>
        <v>16347.924249600001</v>
      </c>
      <c r="AJ14" s="60">
        <f t="shared" si="0"/>
        <v>4461691.1399999997</v>
      </c>
      <c r="AK14" s="16"/>
    </row>
    <row r="15" spans="1:37" ht="63.75" customHeight="1" x14ac:dyDescent="0.25">
      <c r="A15" s="129" t="s">
        <v>78</v>
      </c>
      <c r="B15" s="13" t="s">
        <v>71</v>
      </c>
      <c r="C15" s="14">
        <v>549</v>
      </c>
      <c r="D15" s="14">
        <v>27.65</v>
      </c>
      <c r="E15" s="14">
        <f t="shared" si="7"/>
        <v>5.0360000000000002E-2</v>
      </c>
      <c r="F15" s="53">
        <f t="shared" si="8"/>
        <v>435378.38399999996</v>
      </c>
      <c r="G15" s="49">
        <f t="shared" si="9"/>
        <v>21925.66</v>
      </c>
      <c r="H15" s="50">
        <f t="shared" si="10"/>
        <v>12037187.34</v>
      </c>
      <c r="I15" s="51">
        <v>8.1</v>
      </c>
      <c r="J15" s="14">
        <f t="shared" si="11"/>
        <v>1.4749999999999999E-2</v>
      </c>
      <c r="K15" s="51">
        <f t="shared" si="12"/>
        <v>334666.09999999998</v>
      </c>
      <c r="L15" s="51">
        <f t="shared" si="17"/>
        <v>4936.3</v>
      </c>
      <c r="M15" s="51">
        <f t="shared" si="13"/>
        <v>2710028.7</v>
      </c>
      <c r="N15" s="51"/>
      <c r="O15" s="61"/>
      <c r="P15" s="53"/>
      <c r="Q15" s="51"/>
      <c r="R15" s="51"/>
      <c r="S15" s="51">
        <f>'[1]ФОТ на 2023'!S9/([1]свод!C15+[1]свод!C16+[1]свод!C17)*10%*1000</f>
        <v>4297.7847113884554</v>
      </c>
      <c r="T15" s="55">
        <f>G15+L15+Q15+S15</f>
        <v>31159.744711388455</v>
      </c>
      <c r="U15" s="56">
        <f t="shared" si="1"/>
        <v>115290</v>
      </c>
      <c r="V15" s="57">
        <v>6346999.9999999991</v>
      </c>
      <c r="W15" s="58">
        <f>ROUND((($V$15/($U$15+$U$16+$U$17))*(35*6)),3)</f>
        <v>4950.8580000000002</v>
      </c>
      <c r="X15" s="14">
        <v>346900</v>
      </c>
      <c r="Y15" s="58">
        <f>ROUND((($X$15/($U$15+$U$16+$U$17))*(35*6)),3)</f>
        <v>270.59300000000002</v>
      </c>
      <c r="Z15" s="14"/>
      <c r="AA15" s="58">
        <f>ROUND(((Z15/(U15+U16+U17))*(35*6)),3)</f>
        <v>0</v>
      </c>
      <c r="AB15" s="14">
        <f>ROUND((('[1]ФОТ на 2023'!M9+'[1]ФОТ на 2023'!M10+'[1]ФОТ на 2023'!P9+'[1]ФОТ на 2023'!V9+'[1]ФОТ на 2023'!V10+'[1]ФОТ на 2023'!Y9+'[1]ФОТ на 2023'!Y10)*1.302*1000),1)</f>
        <v>18962067.600000001</v>
      </c>
      <c r="AC15" s="58">
        <f>ROUND((($AB$15/($U$15+$U$16+$U$17))*(35*6)),3)</f>
        <v>14791.004000000001</v>
      </c>
      <c r="AD15" s="14">
        <v>590400</v>
      </c>
      <c r="AE15" s="58">
        <f>ROUND((($AD$15/($U$15+$U$16+$U$17))*(35*6)),3)</f>
        <v>460.53</v>
      </c>
      <c r="AF15" s="59">
        <f t="shared" si="5"/>
        <v>20472.985000000001</v>
      </c>
      <c r="AG15" s="59">
        <f t="shared" si="6"/>
        <v>51632.729711388456</v>
      </c>
      <c r="AH15" s="14">
        <v>1053721.4532000001</v>
      </c>
      <c r="AI15" s="14">
        <f>(AH15/(C15+C16+C17))*C15</f>
        <v>451242.65039531986</v>
      </c>
      <c r="AJ15" s="60">
        <f t="shared" si="0"/>
        <v>28797611.260000002</v>
      </c>
      <c r="AK15" s="16">
        <f>ROUND(((AJ15+AJ16+AJ17)/1000),1)</f>
        <v>78772.100000000006</v>
      </c>
    </row>
    <row r="16" spans="1:37" ht="53.25" customHeight="1" x14ac:dyDescent="0.25">
      <c r="A16" s="130"/>
      <c r="B16" s="13" t="s">
        <v>72</v>
      </c>
      <c r="C16" s="14">
        <v>658</v>
      </c>
      <c r="D16" s="14">
        <v>54.94</v>
      </c>
      <c r="E16" s="14">
        <f t="shared" si="7"/>
        <v>8.3500000000000005E-2</v>
      </c>
      <c r="F16" s="53">
        <f t="shared" si="8"/>
        <v>435378.38399999996</v>
      </c>
      <c r="G16" s="49">
        <f t="shared" si="9"/>
        <v>36354.1</v>
      </c>
      <c r="H16" s="50">
        <f t="shared" si="10"/>
        <v>23920997.800000001</v>
      </c>
      <c r="I16" s="51">
        <v>9.1999999999999993</v>
      </c>
      <c r="J16" s="14">
        <f t="shared" si="11"/>
        <v>1.3979999999999999E-2</v>
      </c>
      <c r="K16" s="51">
        <f t="shared" si="12"/>
        <v>334666.09999999998</v>
      </c>
      <c r="L16" s="51">
        <f t="shared" si="17"/>
        <v>4678.6000000000004</v>
      </c>
      <c r="M16" s="51">
        <f t="shared" si="13"/>
        <v>3078518.8000000003</v>
      </c>
      <c r="N16" s="51"/>
      <c r="O16" s="61"/>
      <c r="P16" s="53"/>
      <c r="Q16" s="51"/>
      <c r="R16" s="51"/>
      <c r="S16" s="51">
        <f>S15</f>
        <v>4297.7847113884554</v>
      </c>
      <c r="T16" s="55">
        <f t="shared" si="14"/>
        <v>45330.484711388453</v>
      </c>
      <c r="U16" s="56">
        <f t="shared" si="1"/>
        <v>138180</v>
      </c>
      <c r="V16" s="57"/>
      <c r="W16" s="58">
        <f t="shared" ref="W16:W17" si="22">ROUND((($V$15/($U$15+$U$16+$U$17))*(35*6)),3)</f>
        <v>4950.8580000000002</v>
      </c>
      <c r="X16" s="14"/>
      <c r="Y16" s="58">
        <f t="shared" ref="Y16:Y17" si="23">ROUND((($X$15/($U$15+$U$16+$U$17))*(35*6)),3)</f>
        <v>270.59300000000002</v>
      </c>
      <c r="Z16" s="14"/>
      <c r="AA16" s="14"/>
      <c r="AB16" s="14"/>
      <c r="AC16" s="58">
        <f t="shared" ref="AC16:AC17" si="24">ROUND((($AB$15/($U$15+$U$16+$U$17))*(35*6)),3)</f>
        <v>14791.004000000001</v>
      </c>
      <c r="AD16" s="14"/>
      <c r="AE16" s="58">
        <f t="shared" ref="AE16:AE17" si="25">ROUND((($AD$15/($U$15+$U$16+$U$17))*(35*6)),3)</f>
        <v>460.53</v>
      </c>
      <c r="AF16" s="59">
        <f t="shared" si="5"/>
        <v>20472.985000000001</v>
      </c>
      <c r="AG16" s="59">
        <f t="shared" si="6"/>
        <v>65803.469711388461</v>
      </c>
      <c r="AH16" s="14"/>
      <c r="AI16" s="14">
        <f>(AH15/(C15+C16+C17))*C16</f>
        <v>540833.63198564749</v>
      </c>
      <c r="AJ16" s="60">
        <f t="shared" si="0"/>
        <v>43839516.700000003</v>
      </c>
      <c r="AK16" s="16"/>
    </row>
    <row r="17" spans="1:37" ht="48" customHeight="1" x14ac:dyDescent="0.25">
      <c r="A17" s="131"/>
      <c r="B17" s="13" t="s">
        <v>74</v>
      </c>
      <c r="C17" s="14">
        <v>75</v>
      </c>
      <c r="D17" s="14">
        <v>8.76</v>
      </c>
      <c r="E17" s="14">
        <f t="shared" si="7"/>
        <v>0.1168</v>
      </c>
      <c r="F17" s="53">
        <f t="shared" si="8"/>
        <v>435378.38399999996</v>
      </c>
      <c r="G17" s="49">
        <f t="shared" si="9"/>
        <v>50852.2</v>
      </c>
      <c r="H17" s="50">
        <f t="shared" si="10"/>
        <v>3813915</v>
      </c>
      <c r="I17" s="51">
        <v>1.2</v>
      </c>
      <c r="J17" s="14">
        <f t="shared" si="11"/>
        <v>1.6E-2</v>
      </c>
      <c r="K17" s="51">
        <f t="shared" si="12"/>
        <v>334666.09999999998</v>
      </c>
      <c r="L17" s="51">
        <f t="shared" si="17"/>
        <v>5354.7</v>
      </c>
      <c r="M17" s="51">
        <f t="shared" si="13"/>
        <v>401602.5</v>
      </c>
      <c r="N17" s="51"/>
      <c r="O17" s="61"/>
      <c r="P17" s="53"/>
      <c r="Q17" s="51"/>
      <c r="R17" s="51"/>
      <c r="S17" s="51">
        <f>S15</f>
        <v>4297.7847113884554</v>
      </c>
      <c r="T17" s="55">
        <f t="shared" si="14"/>
        <v>60504.684711388451</v>
      </c>
      <c r="U17" s="56">
        <f t="shared" si="1"/>
        <v>15750</v>
      </c>
      <c r="V17" s="57"/>
      <c r="W17" s="58">
        <f t="shared" si="22"/>
        <v>4950.8580000000002</v>
      </c>
      <c r="X17" s="14"/>
      <c r="Y17" s="58">
        <f t="shared" si="23"/>
        <v>270.59300000000002</v>
      </c>
      <c r="Z17" s="14"/>
      <c r="AA17" s="14"/>
      <c r="AB17" s="14"/>
      <c r="AC17" s="58">
        <f t="shared" si="24"/>
        <v>14791.004000000001</v>
      </c>
      <c r="AD17" s="14"/>
      <c r="AE17" s="58">
        <f t="shared" si="25"/>
        <v>460.53</v>
      </c>
      <c r="AF17" s="59">
        <f t="shared" si="5"/>
        <v>20472.985000000001</v>
      </c>
      <c r="AG17" s="59">
        <f t="shared" si="6"/>
        <v>80977.669711388444</v>
      </c>
      <c r="AH17" s="14"/>
      <c r="AI17" s="14">
        <f>(AH15/(C15+C16+C17))*C17</f>
        <v>61645.17081903277</v>
      </c>
      <c r="AJ17" s="60">
        <f>ROUND(((AG17*C17)+AI17),2)</f>
        <v>6134970.4000000004</v>
      </c>
      <c r="AK17" s="16"/>
    </row>
    <row r="18" spans="1:37" ht="48" x14ac:dyDescent="0.25">
      <c r="A18" s="129" t="s">
        <v>79</v>
      </c>
      <c r="B18" s="13" t="s">
        <v>71</v>
      </c>
      <c r="C18" s="14">
        <v>208</v>
      </c>
      <c r="D18" s="14">
        <v>12.2</v>
      </c>
      <c r="E18" s="14">
        <f t="shared" si="7"/>
        <v>5.8650000000000001E-2</v>
      </c>
      <c r="F18" s="53">
        <f t="shared" si="8"/>
        <v>435378.38399999996</v>
      </c>
      <c r="G18" s="49">
        <f t="shared" si="9"/>
        <v>25534.94</v>
      </c>
      <c r="H18" s="50">
        <f t="shared" si="10"/>
        <v>5311267.5199999996</v>
      </c>
      <c r="I18" s="51">
        <v>1.55</v>
      </c>
      <c r="J18" s="14">
        <f t="shared" si="11"/>
        <v>7.45E-3</v>
      </c>
      <c r="K18" s="51">
        <f t="shared" si="12"/>
        <v>334666.09999999998</v>
      </c>
      <c r="L18" s="51">
        <f t="shared" si="17"/>
        <v>2493.3000000000002</v>
      </c>
      <c r="M18" s="51">
        <f t="shared" si="13"/>
        <v>518606.4</v>
      </c>
      <c r="N18" s="51"/>
      <c r="O18" s="61"/>
      <c r="P18" s="53"/>
      <c r="Q18" s="51"/>
      <c r="R18" s="51"/>
      <c r="S18" s="51">
        <f>'[1]ФОТ на 2023'!S11/([1]свод!C18+[1]свод!C19+[1]свод!C20+C21+C22)*10%*1000</f>
        <v>4632.9303278688521</v>
      </c>
      <c r="T18" s="55">
        <f t="shared" si="14"/>
        <v>32661.170327868851</v>
      </c>
      <c r="U18" s="56">
        <f t="shared" si="1"/>
        <v>43680</v>
      </c>
      <c r="V18" s="57">
        <v>1462100</v>
      </c>
      <c r="W18" s="58">
        <f>ROUND((($V$18/($U$18+$U$19+$U$20+$U$21+$U$22))*(35*6)),3)</f>
        <v>2996.107</v>
      </c>
      <c r="X18" s="14">
        <v>169500</v>
      </c>
      <c r="Y18" s="58">
        <f>ROUND((($X$18/($U$18+$U$19+$U$20+$U$21+$U$22))*(35*6)),3)</f>
        <v>347.33600000000001</v>
      </c>
      <c r="Z18" s="14"/>
      <c r="AA18" s="58">
        <f>ROUND(((Z18/(U18+U19+U20+U21+U22))*(35*6)),3)</f>
        <v>0</v>
      </c>
      <c r="AB18" s="14">
        <f>ROUND((('[1]ФОТ на 2023'!M11+'[1]ФОТ на 2023'!P11+'[1]ФОТ на 2023'!V11+'[1]ФОТ на 2023'!Y11)*1.302*1000),1)</f>
        <v>7675029.5999999996</v>
      </c>
      <c r="AC18" s="58">
        <f>ROUND((($AB$18/($U$18+$U$19+$U$20+$U$21+$U$22))*(35*6)),3)</f>
        <v>15727.52</v>
      </c>
      <c r="AD18" s="14">
        <v>391600</v>
      </c>
      <c r="AE18" s="58">
        <f>ROUND((($AD$18/($U$18+$U$19+$U$20+$U$21+$U$22))*(35*6)),3)</f>
        <v>802.45899999999995</v>
      </c>
      <c r="AF18" s="59">
        <f t="shared" si="5"/>
        <v>19873.421999999999</v>
      </c>
      <c r="AG18" s="59">
        <f t="shared" si="6"/>
        <v>52534.59232786885</v>
      </c>
      <c r="AH18" s="14">
        <v>139169.52225000001</v>
      </c>
      <c r="AI18" s="14">
        <f>(AH18/(C18+C19+C20+C21+C22))*C18</f>
        <v>59318.157024590168</v>
      </c>
      <c r="AJ18" s="60">
        <f>ROUND(((AG18*C18)+AI18),2)</f>
        <v>10986513.359999999</v>
      </c>
      <c r="AK18" s="16">
        <f>ROUND(((AJ18+AJ19+AJ20+AJ21+AJ22)/1000),1)</f>
        <v>30929.8</v>
      </c>
    </row>
    <row r="19" spans="1:37" ht="60" x14ac:dyDescent="0.25">
      <c r="A19" s="130"/>
      <c r="B19" s="13" t="s">
        <v>77</v>
      </c>
      <c r="C19" s="14"/>
      <c r="D19" s="14"/>
      <c r="E19" s="14">
        <v>0</v>
      </c>
      <c r="F19" s="53">
        <f t="shared" si="8"/>
        <v>435378.38399999996</v>
      </c>
      <c r="G19" s="49">
        <f t="shared" si="9"/>
        <v>0</v>
      </c>
      <c r="H19" s="50">
        <f t="shared" si="10"/>
        <v>0</v>
      </c>
      <c r="I19" s="51"/>
      <c r="J19" s="14">
        <v>0</v>
      </c>
      <c r="K19" s="51">
        <f t="shared" si="12"/>
        <v>334666.09999999998</v>
      </c>
      <c r="L19" s="51">
        <f t="shared" si="17"/>
        <v>0</v>
      </c>
      <c r="M19" s="51">
        <f t="shared" si="13"/>
        <v>0</v>
      </c>
      <c r="N19" s="51"/>
      <c r="O19" s="61"/>
      <c r="P19" s="53"/>
      <c r="Q19" s="51"/>
      <c r="R19" s="51"/>
      <c r="S19" s="51"/>
      <c r="T19" s="55">
        <f t="shared" si="14"/>
        <v>0</v>
      </c>
      <c r="U19" s="56">
        <f t="shared" si="1"/>
        <v>0</v>
      </c>
      <c r="V19" s="57"/>
      <c r="W19" s="58">
        <f>ROUND((($V$18/($U$18+$U$19+$U$20+$U$21+$U$22))*(35*6)),3)</f>
        <v>2996.107</v>
      </c>
      <c r="X19" s="14"/>
      <c r="Y19" s="58">
        <f>ROUND((($X$18/($U$18+$U$19+$U$20+$U$21+$U$22))*(35*6)),3)</f>
        <v>347.33600000000001</v>
      </c>
      <c r="Z19" s="14"/>
      <c r="AA19" s="14"/>
      <c r="AB19" s="14"/>
      <c r="AC19" s="58">
        <f>ROUND((($AB$18/($U$18+$U$19+$U$20+$U$21+$U$22))*(35*6)),3)</f>
        <v>15727.52</v>
      </c>
      <c r="AD19" s="14"/>
      <c r="AE19" s="58">
        <f>ROUND((($AD$18/($U$18+$U$19+$U$20+$U$21+$U$22))*(35*6)),3)</f>
        <v>802.45899999999995</v>
      </c>
      <c r="AF19" s="59">
        <f t="shared" si="5"/>
        <v>19873.421999999999</v>
      </c>
      <c r="AG19" s="59">
        <f t="shared" si="6"/>
        <v>19873.421999999999</v>
      </c>
      <c r="AH19" s="14"/>
      <c r="AI19" s="14">
        <f>(AH18/(C18+C19+C20+C21+C22))*C19</f>
        <v>0</v>
      </c>
      <c r="AJ19" s="60">
        <f t="shared" si="0"/>
        <v>0</v>
      </c>
      <c r="AK19" s="16"/>
    </row>
    <row r="20" spans="1:37" ht="51.75" customHeight="1" x14ac:dyDescent="0.25">
      <c r="A20" s="130"/>
      <c r="B20" s="13" t="s">
        <v>72</v>
      </c>
      <c r="C20" s="14">
        <v>213</v>
      </c>
      <c r="D20" s="14">
        <v>20.83</v>
      </c>
      <c r="E20" s="14">
        <f t="shared" si="7"/>
        <v>9.7790000000000002E-2</v>
      </c>
      <c r="F20" s="53">
        <f t="shared" si="8"/>
        <v>435378.38399999996</v>
      </c>
      <c r="G20" s="49">
        <f t="shared" si="9"/>
        <v>42575.65</v>
      </c>
      <c r="H20" s="50">
        <f t="shared" si="10"/>
        <v>9068613.4500000011</v>
      </c>
      <c r="I20" s="51">
        <v>1.65</v>
      </c>
      <c r="J20" s="14">
        <f t="shared" si="11"/>
        <v>7.7499999999999999E-3</v>
      </c>
      <c r="K20" s="51">
        <f t="shared" si="12"/>
        <v>334666.09999999998</v>
      </c>
      <c r="L20" s="51">
        <f t="shared" si="17"/>
        <v>2593.6999999999998</v>
      </c>
      <c r="M20" s="51">
        <f t="shared" si="13"/>
        <v>552458.1</v>
      </c>
      <c r="N20" s="51"/>
      <c r="O20" s="61"/>
      <c r="P20" s="53"/>
      <c r="Q20" s="51"/>
      <c r="R20" s="51"/>
      <c r="S20" s="51">
        <f>S18</f>
        <v>4632.9303278688521</v>
      </c>
      <c r="T20" s="55">
        <f t="shared" si="14"/>
        <v>49802.280327868852</v>
      </c>
      <c r="U20" s="56">
        <f t="shared" si="1"/>
        <v>44730</v>
      </c>
      <c r="V20" s="57"/>
      <c r="W20" s="58">
        <f t="shared" ref="W20:W22" si="26">ROUND((($V$18/($U$18+$U$19+$U$20+$U$21+$U$22))*(35*6)),3)</f>
        <v>2996.107</v>
      </c>
      <c r="X20" s="14"/>
      <c r="Y20" s="58">
        <f t="shared" ref="Y20:Y22" si="27">ROUND((($X$18/($U$18+$U$19+$U$20+$U$21+$U$22))*(35*6)),3)</f>
        <v>347.33600000000001</v>
      </c>
      <c r="Z20" s="14"/>
      <c r="AA20" s="14"/>
      <c r="AB20" s="14"/>
      <c r="AC20" s="58">
        <f t="shared" ref="AC20:AC22" si="28">ROUND((($AB$18/($U$18+$U$19+$U$20+$U$21+$U$22))*(35*6)),3)</f>
        <v>15727.52</v>
      </c>
      <c r="AD20" s="14"/>
      <c r="AE20" s="58">
        <f t="shared" ref="AE20:AE22" si="29">ROUND((($AD$18/($U$18+$U$19+$U$20+$U$21+$U$22))*(35*6)),3)</f>
        <v>802.45899999999995</v>
      </c>
      <c r="AF20" s="59">
        <f t="shared" si="5"/>
        <v>19873.421999999999</v>
      </c>
      <c r="AG20" s="59">
        <f t="shared" si="6"/>
        <v>69675.702327868843</v>
      </c>
      <c r="AH20" s="14"/>
      <c r="AI20" s="14">
        <f>(AH18/(C18+C19+C20+C21+C22))*C20</f>
        <v>60744.0742607582</v>
      </c>
      <c r="AJ20" s="60">
        <f t="shared" si="0"/>
        <v>14901668.67</v>
      </c>
      <c r="AK20" s="16"/>
    </row>
    <row r="21" spans="1:37" ht="60.75" customHeight="1" x14ac:dyDescent="0.25">
      <c r="A21" s="130"/>
      <c r="B21" s="13" t="s">
        <v>80</v>
      </c>
      <c r="C21" s="14">
        <v>28</v>
      </c>
      <c r="D21" s="14">
        <v>3.15</v>
      </c>
      <c r="E21" s="14">
        <f t="shared" si="7"/>
        <v>0.1125</v>
      </c>
      <c r="F21" s="53">
        <f t="shared" si="8"/>
        <v>435378.38399999996</v>
      </c>
      <c r="G21" s="49">
        <f t="shared" si="9"/>
        <v>48980.07</v>
      </c>
      <c r="H21" s="50">
        <f t="shared" si="10"/>
        <v>1371441.96</v>
      </c>
      <c r="I21" s="51">
        <v>0.3</v>
      </c>
      <c r="J21" s="14">
        <f t="shared" si="11"/>
        <v>1.0710000000000001E-2</v>
      </c>
      <c r="K21" s="51">
        <f t="shared" si="12"/>
        <v>334666.09999999998</v>
      </c>
      <c r="L21" s="51">
        <f t="shared" si="17"/>
        <v>3584.3</v>
      </c>
      <c r="M21" s="51">
        <f t="shared" si="13"/>
        <v>100360.40000000001</v>
      </c>
      <c r="N21" s="51"/>
      <c r="O21" s="61"/>
      <c r="P21" s="53"/>
      <c r="Q21" s="51"/>
      <c r="R21" s="51"/>
      <c r="S21" s="51">
        <f>S18</f>
        <v>4632.9303278688521</v>
      </c>
      <c r="T21" s="55">
        <f t="shared" si="14"/>
        <v>57197.300327868856</v>
      </c>
      <c r="U21" s="56">
        <f t="shared" si="1"/>
        <v>5880</v>
      </c>
      <c r="V21" s="57"/>
      <c r="W21" s="58">
        <f t="shared" si="26"/>
        <v>2996.107</v>
      </c>
      <c r="X21" s="14"/>
      <c r="Y21" s="58">
        <f t="shared" si="27"/>
        <v>347.33600000000001</v>
      </c>
      <c r="Z21" s="14"/>
      <c r="AA21" s="14"/>
      <c r="AB21" s="14"/>
      <c r="AC21" s="58">
        <f t="shared" si="28"/>
        <v>15727.52</v>
      </c>
      <c r="AD21" s="14"/>
      <c r="AE21" s="58">
        <f t="shared" si="29"/>
        <v>802.45899999999995</v>
      </c>
      <c r="AF21" s="59">
        <f t="shared" si="5"/>
        <v>19873.421999999999</v>
      </c>
      <c r="AG21" s="59">
        <f t="shared" si="6"/>
        <v>77070.722327868862</v>
      </c>
      <c r="AH21" s="14"/>
      <c r="AI21" s="14">
        <f>(AH18/(C18+C19+C20+C21+C22))*C21</f>
        <v>7985.1365225409836</v>
      </c>
      <c r="AJ21" s="60">
        <f t="shared" si="0"/>
        <v>2165965.36</v>
      </c>
      <c r="AK21" s="16"/>
    </row>
    <row r="22" spans="1:37" ht="54.75" customHeight="1" x14ac:dyDescent="0.25">
      <c r="A22" s="131"/>
      <c r="B22" s="13" t="s">
        <v>74</v>
      </c>
      <c r="C22" s="14">
        <v>39</v>
      </c>
      <c r="D22" s="14">
        <v>4</v>
      </c>
      <c r="E22" s="14">
        <f t="shared" si="7"/>
        <v>0.10256</v>
      </c>
      <c r="F22" s="53">
        <f t="shared" si="8"/>
        <v>435378.38399999996</v>
      </c>
      <c r="G22" s="49">
        <f t="shared" si="9"/>
        <v>44652.41</v>
      </c>
      <c r="H22" s="50">
        <f t="shared" si="10"/>
        <v>1741443.9900000002</v>
      </c>
      <c r="I22" s="51">
        <v>0.5</v>
      </c>
      <c r="J22" s="14">
        <f t="shared" si="11"/>
        <v>1.282E-2</v>
      </c>
      <c r="K22" s="51">
        <f t="shared" si="12"/>
        <v>334666.09999999998</v>
      </c>
      <c r="L22" s="51">
        <f t="shared" si="17"/>
        <v>4290.3999999999996</v>
      </c>
      <c r="M22" s="51">
        <f t="shared" si="13"/>
        <v>167325.59999999998</v>
      </c>
      <c r="N22" s="51"/>
      <c r="O22" s="61"/>
      <c r="P22" s="53"/>
      <c r="Q22" s="51"/>
      <c r="R22" s="51"/>
      <c r="S22" s="51">
        <f>S18</f>
        <v>4632.9303278688521</v>
      </c>
      <c r="T22" s="55">
        <f t="shared" si="14"/>
        <v>53575.740327868858</v>
      </c>
      <c r="U22" s="56">
        <f t="shared" si="1"/>
        <v>8190</v>
      </c>
      <c r="V22" s="57"/>
      <c r="W22" s="58">
        <f t="shared" si="26"/>
        <v>2996.107</v>
      </c>
      <c r="X22" s="14"/>
      <c r="Y22" s="58">
        <f t="shared" si="27"/>
        <v>347.33600000000001</v>
      </c>
      <c r="Z22" s="14"/>
      <c r="AA22" s="14"/>
      <c r="AB22" s="14"/>
      <c r="AC22" s="58">
        <f t="shared" si="28"/>
        <v>15727.52</v>
      </c>
      <c r="AD22" s="14"/>
      <c r="AE22" s="58">
        <f t="shared" si="29"/>
        <v>802.45899999999995</v>
      </c>
      <c r="AF22" s="59">
        <f t="shared" si="5"/>
        <v>19873.421999999999</v>
      </c>
      <c r="AG22" s="59">
        <f t="shared" si="6"/>
        <v>73449.162327868864</v>
      </c>
      <c r="AH22" s="14"/>
      <c r="AI22" s="14">
        <f>(AH18/(C18+C19+C20+C21+C22))*C22</f>
        <v>11122.154442110656</v>
      </c>
      <c r="AJ22" s="60">
        <f t="shared" si="0"/>
        <v>2875639.49</v>
      </c>
      <c r="AK22" s="16"/>
    </row>
    <row r="23" spans="1:37" ht="48" x14ac:dyDescent="0.25">
      <c r="A23" s="129" t="s">
        <v>81</v>
      </c>
      <c r="B23" s="13" t="s">
        <v>71</v>
      </c>
      <c r="C23" s="14">
        <v>334</v>
      </c>
      <c r="D23" s="14">
        <v>17.8</v>
      </c>
      <c r="E23" s="14">
        <f>ROUND((D23/C23),5)</f>
        <v>5.3289999999999997E-2</v>
      </c>
      <c r="F23" s="53">
        <f t="shared" si="8"/>
        <v>435378.38399999996</v>
      </c>
      <c r="G23" s="49">
        <f t="shared" si="9"/>
        <v>23201.31</v>
      </c>
      <c r="H23" s="50">
        <f t="shared" si="10"/>
        <v>7749237.54</v>
      </c>
      <c r="I23" s="51">
        <v>2.73</v>
      </c>
      <c r="J23" s="14">
        <f t="shared" si="11"/>
        <v>8.1700000000000002E-3</v>
      </c>
      <c r="K23" s="51">
        <f t="shared" si="12"/>
        <v>334666.09999999998</v>
      </c>
      <c r="L23" s="51">
        <f t="shared" si="17"/>
        <v>2734.2</v>
      </c>
      <c r="M23" s="51">
        <f t="shared" si="13"/>
        <v>913222.79999999993</v>
      </c>
      <c r="N23" s="51"/>
      <c r="O23" s="61"/>
      <c r="P23" s="53"/>
      <c r="Q23" s="51"/>
      <c r="R23" s="51"/>
      <c r="S23" s="51">
        <f>'[1]ФОТ на 2023'!S12/([1]свод!C23+[1]свод!C24+[1]свод!C25)*10%*1000</f>
        <v>4260.394736842105</v>
      </c>
      <c r="T23" s="55">
        <f t="shared" si="14"/>
        <v>30195.904736842109</v>
      </c>
      <c r="U23" s="56">
        <f t="shared" si="1"/>
        <v>70140</v>
      </c>
      <c r="V23" s="57">
        <v>6806700</v>
      </c>
      <c r="W23" s="58">
        <f>ROUND((($V$23/($U$23+$U$24+$U$25))*(35*6)),3)</f>
        <v>8956.1839999999993</v>
      </c>
      <c r="X23" s="14">
        <v>1581424.96</v>
      </c>
      <c r="Y23" s="58">
        <f>ROUND((($X$23/($U$23+$U$24+$U$25))*(35*6)),3)</f>
        <v>2080.8220000000001</v>
      </c>
      <c r="Z23" s="14"/>
      <c r="AA23" s="58">
        <f>ROUND(((Z23/(U23+U24+U25))*(35*6)),3)</f>
        <v>0</v>
      </c>
      <c r="AB23" s="14">
        <f>ROUND((('[1]ФОТ на 2023'!M12+'[1]ФОТ на 2023'!P12+'[1]ФОТ на 2023'!V12+'[1]ФОТ на 2023'!Y12)*1.302*1000),1)</f>
        <v>18668466.600000001</v>
      </c>
      <c r="AC23" s="58">
        <f>ROUND((($AB$23/($U$23+$U$24+$U$25))*(35*6)),3)</f>
        <v>24563.772000000001</v>
      </c>
      <c r="AD23" s="14">
        <v>1252200</v>
      </c>
      <c r="AE23" s="58">
        <f>ROUND((($AD$23/($U$23+$U$24+$U$25))*(35*6)),3)</f>
        <v>1647.6320000000001</v>
      </c>
      <c r="AF23" s="59">
        <f t="shared" si="5"/>
        <v>37248.409999999996</v>
      </c>
      <c r="AG23" s="59">
        <f t="shared" si="6"/>
        <v>67444.314736842105</v>
      </c>
      <c r="AH23" s="14">
        <v>468548.83484999998</v>
      </c>
      <c r="AI23" s="14">
        <f>(AH23/(C23+C24+C25))*C23</f>
        <v>205914.88268407894</v>
      </c>
      <c r="AJ23" s="60">
        <f t="shared" si="0"/>
        <v>22732316</v>
      </c>
      <c r="AK23" s="16">
        <f>ROUND(((AJ23+AJ24+AJ25)/1000),1)</f>
        <v>56839.6</v>
      </c>
    </row>
    <row r="24" spans="1:37" ht="48.75" customHeight="1" x14ac:dyDescent="0.25">
      <c r="A24" s="130"/>
      <c r="B24" s="13" t="s">
        <v>72</v>
      </c>
      <c r="C24" s="14">
        <v>386</v>
      </c>
      <c r="D24" s="14">
        <v>30.36</v>
      </c>
      <c r="E24" s="14">
        <f t="shared" si="7"/>
        <v>7.8649999999999998E-2</v>
      </c>
      <c r="F24" s="53">
        <f t="shared" si="8"/>
        <v>435378.38399999996</v>
      </c>
      <c r="G24" s="49">
        <f t="shared" si="9"/>
        <v>34242.51</v>
      </c>
      <c r="H24" s="50">
        <f t="shared" si="10"/>
        <v>13217608.860000001</v>
      </c>
      <c r="I24" s="51">
        <v>2.63</v>
      </c>
      <c r="J24" s="14">
        <f t="shared" si="11"/>
        <v>6.8100000000000001E-3</v>
      </c>
      <c r="K24" s="51">
        <f t="shared" si="12"/>
        <v>334666.09999999998</v>
      </c>
      <c r="L24" s="51">
        <f t="shared" si="17"/>
        <v>2279.1</v>
      </c>
      <c r="M24" s="51">
        <f t="shared" si="13"/>
        <v>879732.6</v>
      </c>
      <c r="N24" s="51"/>
      <c r="O24" s="61"/>
      <c r="P24" s="53"/>
      <c r="Q24" s="51"/>
      <c r="R24" s="51"/>
      <c r="S24" s="51">
        <f>S23</f>
        <v>4260.394736842105</v>
      </c>
      <c r="T24" s="55">
        <f t="shared" si="14"/>
        <v>40782.004736842107</v>
      </c>
      <c r="U24" s="56">
        <f t="shared" si="1"/>
        <v>81060</v>
      </c>
      <c r="V24" s="57"/>
      <c r="W24" s="58">
        <f t="shared" ref="W24:W25" si="30">ROUND((($V$23/($U$23+$U$24+$U$25))*(35*6)),3)</f>
        <v>8956.1839999999993</v>
      </c>
      <c r="X24" s="14"/>
      <c r="Y24" s="58">
        <f t="shared" ref="Y24:Y25" si="31">ROUND((($X$23/($U$23+$U$24+$U$25))*(35*6)),3)</f>
        <v>2080.8220000000001</v>
      </c>
      <c r="Z24" s="14"/>
      <c r="AA24" s="14"/>
      <c r="AB24" s="14"/>
      <c r="AC24" s="58">
        <f t="shared" ref="AC24:AC25" si="32">ROUND((($AB$23/($U$23+$U$24+$U$25))*(35*6)),3)</f>
        <v>24563.772000000001</v>
      </c>
      <c r="AD24" s="14"/>
      <c r="AE24" s="58">
        <f t="shared" ref="AE24:AE25" si="33">ROUND((($AD$23/($U$23+$U$24+$U$25))*(35*6)),3)</f>
        <v>1647.6320000000001</v>
      </c>
      <c r="AF24" s="59">
        <f t="shared" si="5"/>
        <v>37248.409999999996</v>
      </c>
      <c r="AG24" s="59">
        <f t="shared" si="6"/>
        <v>78030.414736842096</v>
      </c>
      <c r="AH24" s="14"/>
      <c r="AI24" s="14">
        <f>(AH23/(C23+C24+C25))*C24</f>
        <v>237973.48717381578</v>
      </c>
      <c r="AJ24" s="60">
        <f t="shared" si="0"/>
        <v>30357713.579999998</v>
      </c>
      <c r="AK24" s="16"/>
    </row>
    <row r="25" spans="1:37" ht="48" customHeight="1" x14ac:dyDescent="0.25">
      <c r="A25" s="131"/>
      <c r="B25" s="13" t="s">
        <v>74</v>
      </c>
      <c r="C25" s="14">
        <v>40</v>
      </c>
      <c r="D25" s="14">
        <v>4.25</v>
      </c>
      <c r="E25" s="14">
        <f t="shared" si="7"/>
        <v>0.10625</v>
      </c>
      <c r="F25" s="53">
        <f t="shared" si="8"/>
        <v>435378.38399999996</v>
      </c>
      <c r="G25" s="49">
        <f t="shared" si="9"/>
        <v>46258.95</v>
      </c>
      <c r="H25" s="50">
        <f t="shared" si="10"/>
        <v>1850358</v>
      </c>
      <c r="I25" s="51">
        <v>0.64</v>
      </c>
      <c r="J25" s="14">
        <f t="shared" si="11"/>
        <v>1.6E-2</v>
      </c>
      <c r="K25" s="51">
        <f t="shared" si="12"/>
        <v>334666.09999999998</v>
      </c>
      <c r="L25" s="51">
        <f t="shared" si="17"/>
        <v>5354.7</v>
      </c>
      <c r="M25" s="51">
        <f t="shared" si="13"/>
        <v>214188</v>
      </c>
      <c r="N25" s="14"/>
      <c r="O25" s="61"/>
      <c r="P25" s="53"/>
      <c r="Q25" s="51"/>
      <c r="R25" s="51"/>
      <c r="S25" s="51">
        <f>S23</f>
        <v>4260.394736842105</v>
      </c>
      <c r="T25" s="55">
        <f t="shared" si="14"/>
        <v>55874.044736842101</v>
      </c>
      <c r="U25" s="56">
        <f t="shared" si="1"/>
        <v>8400</v>
      </c>
      <c r="V25" s="57"/>
      <c r="W25" s="58">
        <f t="shared" si="30"/>
        <v>8956.1839999999993</v>
      </c>
      <c r="X25" s="14"/>
      <c r="Y25" s="58">
        <f t="shared" si="31"/>
        <v>2080.8220000000001</v>
      </c>
      <c r="Z25" s="14"/>
      <c r="AA25" s="14"/>
      <c r="AB25" s="14"/>
      <c r="AC25" s="58">
        <f t="shared" si="32"/>
        <v>24563.772000000001</v>
      </c>
      <c r="AD25" s="14"/>
      <c r="AE25" s="58">
        <f t="shared" si="33"/>
        <v>1647.6320000000001</v>
      </c>
      <c r="AF25" s="59">
        <f t="shared" si="5"/>
        <v>37248.409999999996</v>
      </c>
      <c r="AG25" s="59">
        <f t="shared" si="6"/>
        <v>93122.454736842104</v>
      </c>
      <c r="AH25" s="14"/>
      <c r="AI25" s="14">
        <f>(AH23/(C23+C24+C25))*C25</f>
        <v>24660.464992105262</v>
      </c>
      <c r="AJ25" s="60">
        <f t="shared" si="0"/>
        <v>3749558.65</v>
      </c>
      <c r="AK25" s="16"/>
    </row>
    <row r="26" spans="1:37" ht="60" customHeight="1" x14ac:dyDescent="0.25">
      <c r="A26" s="129" t="s">
        <v>82</v>
      </c>
      <c r="B26" s="13" t="s">
        <v>71</v>
      </c>
      <c r="C26" s="14">
        <v>494</v>
      </c>
      <c r="D26" s="14">
        <v>25.08</v>
      </c>
      <c r="E26" s="14">
        <f t="shared" si="7"/>
        <v>5.0770000000000003E-2</v>
      </c>
      <c r="F26" s="53">
        <f t="shared" si="8"/>
        <v>435378.38399999996</v>
      </c>
      <c r="G26" s="49">
        <f t="shared" si="9"/>
        <v>22104.16</v>
      </c>
      <c r="H26" s="50">
        <f t="shared" si="10"/>
        <v>10919455.039999999</v>
      </c>
      <c r="I26" s="51">
        <v>2.97</v>
      </c>
      <c r="J26" s="14">
        <f t="shared" si="11"/>
        <v>6.0099999999999997E-3</v>
      </c>
      <c r="K26" s="51">
        <f t="shared" si="12"/>
        <v>334666.09999999998</v>
      </c>
      <c r="L26" s="51">
        <f t="shared" si="17"/>
        <v>2011.3</v>
      </c>
      <c r="M26" s="51">
        <f t="shared" si="13"/>
        <v>993582.2</v>
      </c>
      <c r="N26" s="14"/>
      <c r="O26" s="61"/>
      <c r="P26" s="53"/>
      <c r="Q26" s="51"/>
      <c r="R26" s="51"/>
      <c r="S26" s="51">
        <f>'[1]ФОТ на 2023'!S13/([1]свод!C26+[1]свод!C27+[1]свод!C28)*10%*1000</f>
        <v>4114.6991150442491</v>
      </c>
      <c r="T26" s="55">
        <f t="shared" si="14"/>
        <v>28230.159115044247</v>
      </c>
      <c r="U26" s="56">
        <f t="shared" si="1"/>
        <v>103740</v>
      </c>
      <c r="V26" s="57">
        <v>4805200.0000000009</v>
      </c>
      <c r="W26" s="58">
        <f>ROUND((($V$26/($U$26+$U$27+$U$28))*(35*6)),3)</f>
        <v>4252.3890000000001</v>
      </c>
      <c r="X26" s="14">
        <v>576067</v>
      </c>
      <c r="Y26" s="58">
        <f>ROUND((($X$26/($U$26+$U$27+$U$28))*(35*6)),3)</f>
        <v>509.79399999999998</v>
      </c>
      <c r="Z26" s="14"/>
      <c r="AA26" s="58">
        <f>ROUND(((Z26/(U26+U27+U28))*(35*6)),3)</f>
        <v>0</v>
      </c>
      <c r="AB26" s="14">
        <f>ROUND((('[1]ФОТ на 2023'!M13+'[1]ФОТ на 2023'!P13+'[1]ФОТ на 2023'!V13+'[1]ФОТ на 2023'!Y13)*1.302*1000),1)</f>
        <v>16798924.800000001</v>
      </c>
      <c r="AC26" s="58">
        <f>ROUND((($AB$26/($U$26+$U$27+$U$28))*(35*6)),3)</f>
        <v>14866.305</v>
      </c>
      <c r="AD26" s="14">
        <v>463076</v>
      </c>
      <c r="AE26" s="58">
        <f>ROUND((($AD$26/($U$26+$U$27+$U$28))*(35*6)),3)</f>
        <v>409.80200000000002</v>
      </c>
      <c r="AF26" s="59">
        <f t="shared" si="5"/>
        <v>20038.29</v>
      </c>
      <c r="AG26" s="59">
        <f t="shared" si="6"/>
        <v>48268.449115044248</v>
      </c>
      <c r="AH26" s="14">
        <v>406575.03409999993</v>
      </c>
      <c r="AI26" s="14">
        <f>(AH26/(C26+C27+C28))*C26</f>
        <v>177741.65207557517</v>
      </c>
      <c r="AJ26" s="60">
        <f t="shared" si="0"/>
        <v>24022355.510000002</v>
      </c>
      <c r="AK26" s="16">
        <f>ROUND(((AJ26+AJ27+AJ28)/1000),1)</f>
        <v>66012</v>
      </c>
    </row>
    <row r="27" spans="1:37" ht="48.75" customHeight="1" x14ac:dyDescent="0.25">
      <c r="A27" s="130"/>
      <c r="B27" s="13" t="s">
        <v>72</v>
      </c>
      <c r="C27" s="14">
        <v>561</v>
      </c>
      <c r="D27" s="14">
        <v>50.54</v>
      </c>
      <c r="E27" s="14">
        <f t="shared" si="7"/>
        <v>9.0090000000000003E-2</v>
      </c>
      <c r="F27" s="53">
        <f t="shared" si="8"/>
        <v>435378.38399999996</v>
      </c>
      <c r="G27" s="49">
        <f t="shared" si="9"/>
        <v>39223.24</v>
      </c>
      <c r="H27" s="50">
        <f t="shared" si="10"/>
        <v>22004237.640000001</v>
      </c>
      <c r="I27" s="51">
        <v>3.06</v>
      </c>
      <c r="J27" s="14">
        <f t="shared" si="11"/>
        <v>5.45E-3</v>
      </c>
      <c r="K27" s="51">
        <f t="shared" si="12"/>
        <v>334666.09999999998</v>
      </c>
      <c r="L27" s="51">
        <f t="shared" si="17"/>
        <v>1823.9</v>
      </c>
      <c r="M27" s="51">
        <f t="shared" si="13"/>
        <v>1023207.9</v>
      </c>
      <c r="N27" s="14"/>
      <c r="O27" s="61"/>
      <c r="P27" s="53"/>
      <c r="Q27" s="51"/>
      <c r="R27" s="51"/>
      <c r="S27" s="51">
        <f>S26</f>
        <v>4114.6991150442491</v>
      </c>
      <c r="T27" s="55">
        <f t="shared" si="14"/>
        <v>45161.839115044248</v>
      </c>
      <c r="U27" s="56">
        <f t="shared" si="1"/>
        <v>117810</v>
      </c>
      <c r="V27" s="57"/>
      <c r="W27" s="58">
        <f t="shared" ref="W27:W28" si="34">ROUND((($V$26/($U$26+$U$27+$U$28))*(35*6)),3)</f>
        <v>4252.3890000000001</v>
      </c>
      <c r="X27" s="14"/>
      <c r="Y27" s="58">
        <f t="shared" ref="Y27:Y28" si="35">ROUND((($X$26/($U$26+$U$27+$U$28))*(35*6)),3)</f>
        <v>509.79399999999998</v>
      </c>
      <c r="Z27" s="14"/>
      <c r="AA27" s="14"/>
      <c r="AB27" s="14"/>
      <c r="AC27" s="58">
        <f t="shared" ref="AC27:AC28" si="36">ROUND((($AB$26/($U$26+$U$27+$U$28))*(35*6)),3)</f>
        <v>14866.305</v>
      </c>
      <c r="AD27" s="14"/>
      <c r="AE27" s="58">
        <f t="shared" ref="AE27:AE28" si="37">ROUND((($AD$26/($U$26+$U$27+$U$28))*(35*6)),3)</f>
        <v>409.80200000000002</v>
      </c>
      <c r="AF27" s="59">
        <f t="shared" si="5"/>
        <v>20038.29</v>
      </c>
      <c r="AG27" s="59">
        <f t="shared" si="6"/>
        <v>65200.129115044248</v>
      </c>
      <c r="AH27" s="14"/>
      <c r="AI27" s="14">
        <f>(AH26/(C26+C27+C28))*C27</f>
        <v>201848.313389469</v>
      </c>
      <c r="AJ27" s="60">
        <f t="shared" si="0"/>
        <v>36779120.75</v>
      </c>
      <c r="AK27" s="16"/>
    </row>
    <row r="28" spans="1:37" ht="48" x14ac:dyDescent="0.25">
      <c r="A28" s="131"/>
      <c r="B28" s="13" t="s">
        <v>74</v>
      </c>
      <c r="C28" s="14">
        <v>75</v>
      </c>
      <c r="D28" s="14">
        <v>7</v>
      </c>
      <c r="E28" s="14">
        <f t="shared" si="7"/>
        <v>9.3329999999999996E-2</v>
      </c>
      <c r="F28" s="53">
        <f t="shared" si="8"/>
        <v>435378.38399999996</v>
      </c>
      <c r="G28" s="49">
        <f t="shared" si="9"/>
        <v>40633.86</v>
      </c>
      <c r="H28" s="50">
        <f t="shared" si="10"/>
        <v>3047539.5</v>
      </c>
      <c r="I28" s="51">
        <v>0.97</v>
      </c>
      <c r="J28" s="14">
        <f t="shared" si="11"/>
        <v>1.2930000000000001E-2</v>
      </c>
      <c r="K28" s="51">
        <f t="shared" si="12"/>
        <v>334666.09999999998</v>
      </c>
      <c r="L28" s="51">
        <f t="shared" si="17"/>
        <v>4327.2</v>
      </c>
      <c r="M28" s="51">
        <f t="shared" si="13"/>
        <v>324540</v>
      </c>
      <c r="N28" s="14"/>
      <c r="O28" s="61"/>
      <c r="P28" s="53"/>
      <c r="Q28" s="51"/>
      <c r="R28" s="51"/>
      <c r="S28" s="51">
        <f>S26</f>
        <v>4114.6991150442491</v>
      </c>
      <c r="T28" s="55">
        <f t="shared" si="14"/>
        <v>49075.759115044246</v>
      </c>
      <c r="U28" s="56">
        <f t="shared" si="1"/>
        <v>15750</v>
      </c>
      <c r="V28" s="57"/>
      <c r="W28" s="58">
        <f t="shared" si="34"/>
        <v>4252.3890000000001</v>
      </c>
      <c r="X28" s="14"/>
      <c r="Y28" s="58">
        <f t="shared" si="35"/>
        <v>509.79399999999998</v>
      </c>
      <c r="Z28" s="14"/>
      <c r="AA28" s="14"/>
      <c r="AB28" s="14"/>
      <c r="AC28" s="58">
        <f t="shared" si="36"/>
        <v>14866.305</v>
      </c>
      <c r="AD28" s="14"/>
      <c r="AE28" s="58">
        <f t="shared" si="37"/>
        <v>409.80200000000002</v>
      </c>
      <c r="AF28" s="59">
        <f t="shared" si="5"/>
        <v>20038.29</v>
      </c>
      <c r="AG28" s="59">
        <f t="shared" si="6"/>
        <v>69114.049115044239</v>
      </c>
      <c r="AH28" s="14"/>
      <c r="AI28" s="14">
        <f>(AH26/(C26+C27+C28))*C28</f>
        <v>26985.068634955747</v>
      </c>
      <c r="AJ28" s="60">
        <f t="shared" si="0"/>
        <v>5210538.75</v>
      </c>
      <c r="AK28" s="16"/>
    </row>
    <row r="29" spans="1:37" ht="61.5" customHeight="1" x14ac:dyDescent="0.25">
      <c r="A29" s="129" t="s">
        <v>83</v>
      </c>
      <c r="B29" s="13" t="s">
        <v>71</v>
      </c>
      <c r="C29" s="14">
        <v>259</v>
      </c>
      <c r="D29" s="14">
        <v>15.84</v>
      </c>
      <c r="E29" s="14">
        <f t="shared" si="7"/>
        <v>6.1159999999999999E-2</v>
      </c>
      <c r="F29" s="53">
        <f t="shared" si="8"/>
        <v>435378.38399999996</v>
      </c>
      <c r="G29" s="49">
        <f t="shared" si="9"/>
        <v>26627.74</v>
      </c>
      <c r="H29" s="50">
        <f t="shared" si="10"/>
        <v>6896584.6600000001</v>
      </c>
      <c r="I29" s="51">
        <v>1.8</v>
      </c>
      <c r="J29" s="14">
        <f t="shared" si="11"/>
        <v>6.9499999999999996E-3</v>
      </c>
      <c r="K29" s="51">
        <f t="shared" si="12"/>
        <v>334666.09999999998</v>
      </c>
      <c r="L29" s="51">
        <f t="shared" si="17"/>
        <v>2325.9</v>
      </c>
      <c r="M29" s="51">
        <f t="shared" si="13"/>
        <v>602408.1</v>
      </c>
      <c r="N29" s="14"/>
      <c r="O29" s="61"/>
      <c r="P29" s="53"/>
      <c r="Q29" s="51"/>
      <c r="R29" s="51"/>
      <c r="S29" s="51">
        <f>'[1]ФОТ на 2023'!S14/([1]свод!C29+[1]свод!C30+[1]свод!C31+C32+C33)*10%*1000</f>
        <v>4869.9567099567103</v>
      </c>
      <c r="T29" s="55">
        <f t="shared" si="14"/>
        <v>33823.596709956713</v>
      </c>
      <c r="U29" s="56">
        <f t="shared" si="1"/>
        <v>54390</v>
      </c>
      <c r="V29" s="57">
        <v>3222200</v>
      </c>
      <c r="W29" s="58">
        <f>ROUND((($V$29/($U$29+$U$30+$U$31+$U$32+$U$33))*(35*6)),3)</f>
        <v>4649.6390000000001</v>
      </c>
      <c r="X29" s="14">
        <v>219000</v>
      </c>
      <c r="Y29" s="58">
        <f>ROUND((($X$29/($U$29+$U$30+$U$31+$U$32+$U$33))*(35*6)),3)</f>
        <v>316.017</v>
      </c>
      <c r="Z29" s="14"/>
      <c r="AA29" s="58">
        <f>ROUND(((Z29/(U29+U30+U31+U32+U33))*(35*6)),3)</f>
        <v>0</v>
      </c>
      <c r="AB29" s="14">
        <f>ROUND((('[1]ФОТ на 2023'!M14+'[1]ФОТ на 2023'!P14+'[1]ФОТ на 2023'!V14+'[1]ФОТ на 2023'!Y14)*1.302*1000),1)</f>
        <v>11030804.4</v>
      </c>
      <c r="AC29" s="58">
        <f>ROUND((($AB$29/($U$29+$U$30+$U$31+$U$32+$U$33))*(35*6)),3)</f>
        <v>15917.467000000001</v>
      </c>
      <c r="AD29" s="14">
        <v>274884</v>
      </c>
      <c r="AE29" s="58">
        <f>ROUND((($AD$29/($U$29+$U$30+$U$31+$U$32+$U$33))*(35*6)),3)</f>
        <v>396.65800000000002</v>
      </c>
      <c r="AF29" s="59">
        <f t="shared" si="5"/>
        <v>21279.780999999999</v>
      </c>
      <c r="AG29" s="59">
        <f t="shared" si="6"/>
        <v>55103.377709956709</v>
      </c>
      <c r="AH29" s="14">
        <v>781619.65532000002</v>
      </c>
      <c r="AI29" s="14">
        <f>(AH29/(C29+C30+C31+C32+C33))*C29</f>
        <v>292120.47724080808</v>
      </c>
      <c r="AJ29" s="60">
        <f t="shared" si="0"/>
        <v>14563895.300000001</v>
      </c>
      <c r="AK29" s="16">
        <f>ROUND(((AJ29+AJ30+AJ31+AJ32+AJ33)/1000),1)</f>
        <v>46838.6</v>
      </c>
    </row>
    <row r="30" spans="1:37" ht="72.75" customHeight="1" x14ac:dyDescent="0.25">
      <c r="A30" s="130"/>
      <c r="B30" s="13" t="s">
        <v>77</v>
      </c>
      <c r="C30" s="14">
        <v>62</v>
      </c>
      <c r="D30" s="14">
        <v>6.6</v>
      </c>
      <c r="E30" s="14">
        <f t="shared" si="7"/>
        <v>0.10645</v>
      </c>
      <c r="F30" s="53">
        <f t="shared" si="8"/>
        <v>435378.38399999996</v>
      </c>
      <c r="G30" s="49">
        <f t="shared" si="9"/>
        <v>46346.03</v>
      </c>
      <c r="H30" s="50">
        <f t="shared" si="10"/>
        <v>2873453.86</v>
      </c>
      <c r="I30" s="51">
        <v>0.6</v>
      </c>
      <c r="J30" s="14">
        <f t="shared" si="11"/>
        <v>9.6799999999999994E-3</v>
      </c>
      <c r="K30" s="51">
        <f t="shared" si="12"/>
        <v>334666.09999999998</v>
      </c>
      <c r="L30" s="51">
        <f t="shared" si="17"/>
        <v>3239.6</v>
      </c>
      <c r="M30" s="51">
        <f t="shared" si="13"/>
        <v>200855.19999999998</v>
      </c>
      <c r="N30" s="14"/>
      <c r="O30" s="61"/>
      <c r="P30" s="53"/>
      <c r="Q30" s="51"/>
      <c r="R30" s="51"/>
      <c r="S30" s="51">
        <f>S29</f>
        <v>4869.9567099567103</v>
      </c>
      <c r="T30" s="55">
        <f t="shared" si="14"/>
        <v>54455.586709956711</v>
      </c>
      <c r="U30" s="56">
        <f t="shared" si="1"/>
        <v>13020</v>
      </c>
      <c r="V30" s="57"/>
      <c r="W30" s="58">
        <f t="shared" ref="W30:W33" si="38">ROUND((($V$29/($U$29+$U$30+$U$31+$U$32+$U$33))*(35*6)),3)</f>
        <v>4649.6390000000001</v>
      </c>
      <c r="X30" s="14"/>
      <c r="Y30" s="58">
        <f t="shared" ref="Y30:Y33" si="39">ROUND((($X$29/($U$29+$U$30+$U$31+$U$32+$U$33))*(35*6)),3)</f>
        <v>316.017</v>
      </c>
      <c r="Z30" s="14"/>
      <c r="AA30" s="14"/>
      <c r="AB30" s="14"/>
      <c r="AC30" s="58">
        <f t="shared" ref="AC30:AC33" si="40">ROUND((($AB$29/($U$29+$U$30+$U$31+$U$32+$U$33))*(35*6)),3)</f>
        <v>15917.467000000001</v>
      </c>
      <c r="AD30" s="14"/>
      <c r="AE30" s="58">
        <f t="shared" ref="AE30:AE33" si="41">ROUND((($AD$29/($U$29+$U$30+$U$31+$U$32+$U$33))*(35*6)),3)</f>
        <v>396.65800000000002</v>
      </c>
      <c r="AF30" s="59">
        <f t="shared" si="5"/>
        <v>21279.780999999999</v>
      </c>
      <c r="AG30" s="59">
        <f t="shared" si="6"/>
        <v>75735.367709956714</v>
      </c>
      <c r="AH30" s="14"/>
      <c r="AI30" s="14">
        <f>(AH29/(C29+C30+C31+C32+C33))*C30</f>
        <v>69928.454011313122</v>
      </c>
      <c r="AJ30" s="60">
        <f t="shared" si="0"/>
        <v>4765521.25</v>
      </c>
      <c r="AK30" s="16"/>
    </row>
    <row r="31" spans="1:37" ht="56.25" customHeight="1" x14ac:dyDescent="0.25">
      <c r="A31" s="130"/>
      <c r="B31" s="13" t="s">
        <v>72</v>
      </c>
      <c r="C31" s="14">
        <v>254</v>
      </c>
      <c r="D31" s="14">
        <v>23</v>
      </c>
      <c r="E31" s="14">
        <f t="shared" si="7"/>
        <v>9.0550000000000005E-2</v>
      </c>
      <c r="F31" s="53">
        <f t="shared" si="8"/>
        <v>435378.38399999996</v>
      </c>
      <c r="G31" s="49">
        <f t="shared" si="9"/>
        <v>39423.51</v>
      </c>
      <c r="H31" s="50">
        <f t="shared" si="10"/>
        <v>10013571.540000001</v>
      </c>
      <c r="I31" s="51">
        <v>1.7</v>
      </c>
      <c r="J31" s="14">
        <f t="shared" si="11"/>
        <v>6.6899999999999998E-3</v>
      </c>
      <c r="K31" s="51">
        <f t="shared" si="12"/>
        <v>334666.09999999998</v>
      </c>
      <c r="L31" s="51">
        <f t="shared" si="17"/>
        <v>2238.9</v>
      </c>
      <c r="M31" s="51">
        <f t="shared" si="13"/>
        <v>568680.6</v>
      </c>
      <c r="N31" s="14"/>
      <c r="O31" s="61"/>
      <c r="P31" s="53"/>
      <c r="Q31" s="51"/>
      <c r="R31" s="51"/>
      <c r="S31" s="51">
        <f>S29</f>
        <v>4869.9567099567103</v>
      </c>
      <c r="T31" s="55">
        <f t="shared" si="14"/>
        <v>46532.36670995671</v>
      </c>
      <c r="U31" s="56">
        <f t="shared" si="1"/>
        <v>53340</v>
      </c>
      <c r="V31" s="57"/>
      <c r="W31" s="58">
        <f t="shared" si="38"/>
        <v>4649.6390000000001</v>
      </c>
      <c r="X31" s="14"/>
      <c r="Y31" s="58">
        <f t="shared" si="39"/>
        <v>316.017</v>
      </c>
      <c r="Z31" s="14"/>
      <c r="AA31" s="14"/>
      <c r="AB31" s="14"/>
      <c r="AC31" s="58">
        <f t="shared" si="40"/>
        <v>15917.467000000001</v>
      </c>
      <c r="AD31" s="14"/>
      <c r="AE31" s="58">
        <f t="shared" si="41"/>
        <v>396.65800000000002</v>
      </c>
      <c r="AF31" s="59">
        <f t="shared" si="5"/>
        <v>21279.780999999999</v>
      </c>
      <c r="AG31" s="59">
        <f t="shared" si="6"/>
        <v>67812.147709956713</v>
      </c>
      <c r="AH31" s="14"/>
      <c r="AI31" s="14">
        <f>(AH29/(C29+C30+C31+C32+C33))*C31</f>
        <v>286481.0857882828</v>
      </c>
      <c r="AJ31" s="60">
        <f t="shared" si="0"/>
        <v>17510766.600000001</v>
      </c>
      <c r="AK31" s="16"/>
    </row>
    <row r="32" spans="1:37" ht="60" customHeight="1" x14ac:dyDescent="0.25">
      <c r="A32" s="130"/>
      <c r="B32" s="13" t="s">
        <v>80</v>
      </c>
      <c r="C32" s="14">
        <v>81</v>
      </c>
      <c r="D32" s="14">
        <v>10.38</v>
      </c>
      <c r="E32" s="14">
        <f t="shared" si="7"/>
        <v>0.12814999999999999</v>
      </c>
      <c r="F32" s="53">
        <f t="shared" si="8"/>
        <v>435378.38399999996</v>
      </c>
      <c r="G32" s="49">
        <f t="shared" si="9"/>
        <v>55793.74</v>
      </c>
      <c r="H32" s="50">
        <f t="shared" si="10"/>
        <v>4519292.9399999995</v>
      </c>
      <c r="I32" s="51">
        <v>0.7</v>
      </c>
      <c r="J32" s="14">
        <f t="shared" si="11"/>
        <v>8.6400000000000001E-3</v>
      </c>
      <c r="K32" s="51">
        <f t="shared" si="12"/>
        <v>334666.09999999998</v>
      </c>
      <c r="L32" s="51">
        <f t="shared" si="17"/>
        <v>2891.5</v>
      </c>
      <c r="M32" s="51">
        <f t="shared" si="13"/>
        <v>234211.5</v>
      </c>
      <c r="N32" s="14"/>
      <c r="O32" s="61"/>
      <c r="P32" s="53"/>
      <c r="Q32" s="51"/>
      <c r="R32" s="51"/>
      <c r="S32" s="51">
        <f>S29</f>
        <v>4869.9567099567103</v>
      </c>
      <c r="T32" s="55">
        <f t="shared" si="14"/>
        <v>63555.196709956712</v>
      </c>
      <c r="U32" s="56">
        <f t="shared" si="1"/>
        <v>17010</v>
      </c>
      <c r="V32" s="57"/>
      <c r="W32" s="58">
        <f t="shared" si="38"/>
        <v>4649.6390000000001</v>
      </c>
      <c r="X32" s="14"/>
      <c r="Y32" s="58">
        <f t="shared" si="39"/>
        <v>316.017</v>
      </c>
      <c r="Z32" s="14"/>
      <c r="AA32" s="14"/>
      <c r="AB32" s="14"/>
      <c r="AC32" s="58">
        <f t="shared" si="40"/>
        <v>15917.467000000001</v>
      </c>
      <c r="AD32" s="14"/>
      <c r="AE32" s="58">
        <f t="shared" si="41"/>
        <v>396.65800000000002</v>
      </c>
      <c r="AF32" s="59">
        <f t="shared" si="5"/>
        <v>21279.780999999999</v>
      </c>
      <c r="AG32" s="59">
        <f t="shared" si="6"/>
        <v>84834.977709956715</v>
      </c>
      <c r="AH32" s="14"/>
      <c r="AI32" s="14">
        <f>(AH29/(C29+C30+C31+C32+C33))*C32</f>
        <v>91358.141530909095</v>
      </c>
      <c r="AJ32" s="60">
        <f t="shared" si="0"/>
        <v>6962991.3399999999</v>
      </c>
      <c r="AK32" s="16"/>
    </row>
    <row r="33" spans="1:37" ht="46.5" customHeight="1" x14ac:dyDescent="0.25">
      <c r="A33" s="131"/>
      <c r="B33" s="13" t="s">
        <v>74</v>
      </c>
      <c r="C33" s="14">
        <v>37</v>
      </c>
      <c r="D33" s="14">
        <v>4.5</v>
      </c>
      <c r="E33" s="14">
        <f t="shared" si="7"/>
        <v>0.12162000000000001</v>
      </c>
      <c r="F33" s="53">
        <f t="shared" si="8"/>
        <v>435378.38399999996</v>
      </c>
      <c r="G33" s="49">
        <f t="shared" si="9"/>
        <v>52950.720000000001</v>
      </c>
      <c r="H33" s="50">
        <f t="shared" si="10"/>
        <v>1959176.6400000001</v>
      </c>
      <c r="I33" s="51">
        <v>0.2</v>
      </c>
      <c r="J33" s="14">
        <f t="shared" si="11"/>
        <v>5.4099999999999999E-3</v>
      </c>
      <c r="K33" s="51">
        <f t="shared" si="12"/>
        <v>334666.09999999998</v>
      </c>
      <c r="L33" s="51">
        <f t="shared" si="17"/>
        <v>1810.5</v>
      </c>
      <c r="M33" s="51">
        <f t="shared" si="13"/>
        <v>66988.5</v>
      </c>
      <c r="N33" s="14"/>
      <c r="O33" s="61"/>
      <c r="P33" s="53"/>
      <c r="Q33" s="51"/>
      <c r="R33" s="51"/>
      <c r="S33" s="51">
        <f>S29</f>
        <v>4869.9567099567103</v>
      </c>
      <c r="T33" s="55">
        <f t="shared" si="14"/>
        <v>59631.176709956708</v>
      </c>
      <c r="U33" s="56">
        <f t="shared" si="1"/>
        <v>7770</v>
      </c>
      <c r="V33" s="57"/>
      <c r="W33" s="58">
        <f t="shared" si="38"/>
        <v>4649.6390000000001</v>
      </c>
      <c r="X33" s="14"/>
      <c r="Y33" s="58">
        <f t="shared" si="39"/>
        <v>316.017</v>
      </c>
      <c r="Z33" s="14"/>
      <c r="AA33" s="14"/>
      <c r="AB33" s="14"/>
      <c r="AC33" s="58">
        <f t="shared" si="40"/>
        <v>15917.467000000001</v>
      </c>
      <c r="AD33" s="14"/>
      <c r="AE33" s="58">
        <f t="shared" si="41"/>
        <v>396.65800000000002</v>
      </c>
      <c r="AF33" s="59">
        <f t="shared" si="5"/>
        <v>21279.780999999999</v>
      </c>
      <c r="AG33" s="59">
        <f t="shared" si="6"/>
        <v>80910.95770995671</v>
      </c>
      <c r="AH33" s="14"/>
      <c r="AI33" s="14">
        <f>(AH29/(C29+C30+C31+C32+C33))*C33</f>
        <v>41731.49674868687</v>
      </c>
      <c r="AJ33" s="60">
        <f>ROUND(((AG33*C33)+AI33),2)</f>
        <v>3035436.93</v>
      </c>
      <c r="AK33" s="16"/>
    </row>
    <row r="34" spans="1:37" ht="60" x14ac:dyDescent="0.25">
      <c r="A34" s="129" t="s">
        <v>84</v>
      </c>
      <c r="B34" s="13" t="s">
        <v>26</v>
      </c>
      <c r="C34" s="15">
        <v>83</v>
      </c>
      <c r="D34" s="14"/>
      <c r="E34" s="14">
        <f t="shared" si="7"/>
        <v>0</v>
      </c>
      <c r="F34" s="53">
        <f t="shared" si="8"/>
        <v>435378.38399999996</v>
      </c>
      <c r="G34" s="49">
        <f>ROUND((E34*F34),2)</f>
        <v>0</v>
      </c>
      <c r="H34" s="50">
        <f>C34*G34</f>
        <v>0</v>
      </c>
      <c r="I34" s="51">
        <v>10.3</v>
      </c>
      <c r="J34" s="14">
        <f t="shared" si="11"/>
        <v>0.1241</v>
      </c>
      <c r="K34" s="51">
        <f>ROUND((38000*1.302*12),1)</f>
        <v>593712</v>
      </c>
      <c r="L34" s="51">
        <f t="shared" si="17"/>
        <v>73679.7</v>
      </c>
      <c r="M34" s="51">
        <f t="shared" si="13"/>
        <v>6115415.0999999996</v>
      </c>
      <c r="N34" s="14">
        <v>5</v>
      </c>
      <c r="O34" s="14">
        <f>ROUND((N34/C34),5)</f>
        <v>6.0240000000000002E-2</v>
      </c>
      <c r="P34" s="53">
        <f>ROUND((17100*12*1.302),1)</f>
        <v>267170.40000000002</v>
      </c>
      <c r="Q34" s="49">
        <f>ROUND((O34*P34),4)</f>
        <v>16094.3449</v>
      </c>
      <c r="R34" s="51">
        <f>C34*Q34</f>
        <v>1335830.6266999999</v>
      </c>
      <c r="S34" s="51">
        <f>'[1]ФОТ на 2023'!S15/([1]свод!C34+[1]свод!C35+[1]свод!C36+C37+C38+C39+C40)*10%*1000</f>
        <v>4688.429577464789</v>
      </c>
      <c r="T34" s="55">
        <f t="shared" si="14"/>
        <v>94462.474477464784</v>
      </c>
      <c r="U34" s="56">
        <f t="shared" si="1"/>
        <v>17430</v>
      </c>
      <c r="V34" s="57">
        <v>6364700</v>
      </c>
      <c r="W34" s="58">
        <f>ROUND((($V$34/($U$34+$U$35+$U$36+$U$37+$U$38+$U$39+$U$40))*(35*6)),3)</f>
        <v>4482.183</v>
      </c>
      <c r="X34" s="14">
        <v>457000</v>
      </c>
      <c r="Y34" s="58">
        <f>ROUND((($X$34/($U$34+$U$35+$U$36+$U$37+$U$38+$U$39+$U$40))*(35*6)),3)</f>
        <v>321.83100000000002</v>
      </c>
      <c r="Z34" s="14"/>
      <c r="AA34" s="58">
        <f>ROUND(((Z34/(U34+U36+U37+U38+U39+U40))*(35*6)),3)</f>
        <v>0</v>
      </c>
      <c r="AB34" s="14">
        <f>ROUND((('[1]ФОТ на 2023'!M15+'[1]ФОТ на 2023'!M16+'[1]ФОТ на 2023'!P15+'[1]ФОТ на 2023'!P16+'[1]ФОТ на 2023'!V15+'[1]ФОТ на 2023'!Y15+'[1]ФОТ на 2023'!Y16)*1.302*1000),1)</f>
        <v>22613526.600000001</v>
      </c>
      <c r="AC34" s="58">
        <f t="shared" ref="AC34:AC40" si="42">ROUND((($AB$34/($U$34+$U$35+$U$36+$U$37+$U$38+$U$39+$U$40))*(35*6)),3)</f>
        <v>15925.019</v>
      </c>
      <c r="AD34" s="14">
        <v>758600</v>
      </c>
      <c r="AE34" s="58">
        <f>ROUND((($AD$34/($U$34+$U$35+$U$36+$U$37+$U$38+$U$39+$U$40))*(35*6)),3)</f>
        <v>534.22500000000002</v>
      </c>
      <c r="AF34" s="59">
        <f t="shared" si="5"/>
        <v>21263.257999999998</v>
      </c>
      <c r="AG34" s="59">
        <f t="shared" si="6"/>
        <v>115725.73247746479</v>
      </c>
      <c r="AH34" s="14">
        <v>618536.67402000003</v>
      </c>
      <c r="AI34" s="14">
        <f>(AH34/(C34+C35+C36+C37+C38+C39+C40))*C34</f>
        <v>36153.90418567606</v>
      </c>
      <c r="AJ34" s="60">
        <f t="shared" si="0"/>
        <v>9641389.6999999993</v>
      </c>
      <c r="AK34" s="16">
        <f>ROUND(((AJ34+AJ35+AJ36+AJ37+AJ38+AJ39+AJ40)/1000),1)</f>
        <v>93297.5</v>
      </c>
    </row>
    <row r="35" spans="1:37" ht="72" x14ac:dyDescent="0.25">
      <c r="A35" s="130"/>
      <c r="B35" s="13" t="s">
        <v>85</v>
      </c>
      <c r="C35" s="15">
        <v>37</v>
      </c>
      <c r="D35" s="14"/>
      <c r="E35" s="14">
        <f t="shared" si="7"/>
        <v>0</v>
      </c>
      <c r="F35" s="53">
        <f t="shared" si="8"/>
        <v>435378.38399999996</v>
      </c>
      <c r="G35" s="49">
        <f>ROUND((E35*F35),2)</f>
        <v>0</v>
      </c>
      <c r="H35" s="50">
        <f>C35*G35</f>
        <v>0</v>
      </c>
      <c r="I35" s="51">
        <v>6.5</v>
      </c>
      <c r="J35" s="14">
        <f>ROUND((I35/C35),5)</f>
        <v>0.17568</v>
      </c>
      <c r="K35" s="51">
        <f>ROUND((38000*1.302*12),1)</f>
        <v>593712</v>
      </c>
      <c r="L35" s="51">
        <f t="shared" si="17"/>
        <v>104303.3</v>
      </c>
      <c r="M35" s="51">
        <f t="shared" si="13"/>
        <v>3859222.1</v>
      </c>
      <c r="N35" s="14">
        <v>1</v>
      </c>
      <c r="O35" s="14">
        <f>ROUND((N35/C35),5)</f>
        <v>2.7029999999999998E-2</v>
      </c>
      <c r="P35" s="53">
        <f>ROUND((17100*12*1.302),1)</f>
        <v>267170.40000000002</v>
      </c>
      <c r="Q35" s="49">
        <f>ROUND((O35*P35),4)</f>
        <v>7221.6158999999998</v>
      </c>
      <c r="R35" s="51">
        <f>C35*Q35</f>
        <v>267199.78830000001</v>
      </c>
      <c r="S35" s="51">
        <f>S34</f>
        <v>4688.429577464789</v>
      </c>
      <c r="T35" s="55">
        <f t="shared" si="14"/>
        <v>116213.3454774648</v>
      </c>
      <c r="U35" s="56">
        <f t="shared" si="1"/>
        <v>7770</v>
      </c>
      <c r="V35" s="57"/>
      <c r="W35" s="58">
        <f t="shared" ref="W35:W40" si="43">ROUND((($V$34/($U$34+$U$35+$U$36+$U$37+$U$38+$U$39+$U$40))*(35*6)),3)</f>
        <v>4482.183</v>
      </c>
      <c r="X35" s="14"/>
      <c r="Y35" s="58">
        <f t="shared" ref="Y35:Y40" si="44">ROUND((($X$34/($U$34+$U$35+$U$36+$U$37+$U$38+$U$39+$U$40))*(35*6)),3)</f>
        <v>321.83100000000002</v>
      </c>
      <c r="Z35" s="14"/>
      <c r="AA35" s="58"/>
      <c r="AB35" s="14"/>
      <c r="AC35" s="58">
        <f t="shared" si="42"/>
        <v>15925.019</v>
      </c>
      <c r="AD35" s="14"/>
      <c r="AE35" s="58">
        <f t="shared" ref="AE35:AE40" si="45">ROUND((($AD$34/($U$34+$U$35+$U$36+$U$37+$U$38+$U$39+$U$40))*(35*6)),3)</f>
        <v>534.22500000000002</v>
      </c>
      <c r="AF35" s="59">
        <f t="shared" si="5"/>
        <v>21263.257999999998</v>
      </c>
      <c r="AG35" s="59">
        <f t="shared" si="6"/>
        <v>137476.60347746479</v>
      </c>
      <c r="AH35" s="14"/>
      <c r="AI35" s="14">
        <f>(AH34/(C34+C35+C36+C37+C38+C39+C40))*C35</f>
        <v>16116.800661084508</v>
      </c>
      <c r="AJ35" s="60">
        <f>ROUND(((AG35*C35)+AI35),2)</f>
        <v>5102751.13</v>
      </c>
      <c r="AK35" s="16"/>
    </row>
    <row r="36" spans="1:37" ht="48" x14ac:dyDescent="0.25">
      <c r="A36" s="130"/>
      <c r="B36" s="13" t="s">
        <v>71</v>
      </c>
      <c r="C36" s="15">
        <v>552</v>
      </c>
      <c r="D36" s="14">
        <v>29.11</v>
      </c>
      <c r="E36" s="14">
        <f>ROUND((D36/C36),5)</f>
        <v>5.2740000000000002E-2</v>
      </c>
      <c r="F36" s="53">
        <f t="shared" si="8"/>
        <v>435378.38399999996</v>
      </c>
      <c r="G36" s="49">
        <f>ROUND((E36*F36),2)</f>
        <v>22961.86</v>
      </c>
      <c r="H36" s="50">
        <f t="shared" ref="H36:H53" si="46">C36*G36</f>
        <v>12674946.720000001</v>
      </c>
      <c r="I36" s="51">
        <v>4</v>
      </c>
      <c r="J36" s="14">
        <f t="shared" si="11"/>
        <v>7.2500000000000004E-3</v>
      </c>
      <c r="K36" s="51">
        <f t="shared" ref="K36:K57" si="47">ROUND((21420*1.302*12),1)</f>
        <v>334666.09999999998</v>
      </c>
      <c r="L36" s="51">
        <f t="shared" si="17"/>
        <v>2426.3000000000002</v>
      </c>
      <c r="M36" s="51">
        <f t="shared" si="13"/>
        <v>1339317.6000000001</v>
      </c>
      <c r="N36" s="14"/>
      <c r="O36" s="61"/>
      <c r="P36" s="53"/>
      <c r="Q36" s="51"/>
      <c r="R36" s="51"/>
      <c r="S36" s="51">
        <f>S34</f>
        <v>4688.429577464789</v>
      </c>
      <c r="T36" s="55">
        <f t="shared" si="14"/>
        <v>30076.589577464787</v>
      </c>
      <c r="U36" s="56">
        <f t="shared" si="1"/>
        <v>115920</v>
      </c>
      <c r="V36" s="57"/>
      <c r="W36" s="58">
        <f t="shared" si="43"/>
        <v>4482.183</v>
      </c>
      <c r="X36" s="14"/>
      <c r="Y36" s="58">
        <f t="shared" si="44"/>
        <v>321.83100000000002</v>
      </c>
      <c r="Z36" s="14"/>
      <c r="AA36" s="14"/>
      <c r="AB36" s="14"/>
      <c r="AC36" s="58">
        <f t="shared" si="42"/>
        <v>15925.019</v>
      </c>
      <c r="AD36" s="14"/>
      <c r="AE36" s="58">
        <f t="shared" si="45"/>
        <v>534.22500000000002</v>
      </c>
      <c r="AF36" s="59">
        <f t="shared" si="5"/>
        <v>21263.257999999998</v>
      </c>
      <c r="AG36" s="59">
        <f t="shared" si="6"/>
        <v>51339.847577464781</v>
      </c>
      <c r="AH36" s="14"/>
      <c r="AI36" s="14">
        <f>(AH34/(C34+C35+C36+C37+C38+C39+C40))*C36</f>
        <v>240445.24229509861</v>
      </c>
      <c r="AJ36" s="60">
        <f t="shared" si="0"/>
        <v>28580041.109999999</v>
      </c>
      <c r="AK36" s="16"/>
    </row>
    <row r="37" spans="1:37" ht="48" x14ac:dyDescent="0.25">
      <c r="A37" s="130"/>
      <c r="B37" s="13" t="s">
        <v>72</v>
      </c>
      <c r="C37" s="15">
        <v>470</v>
      </c>
      <c r="D37" s="14">
        <v>34.229999999999997</v>
      </c>
      <c r="E37" s="14">
        <f>ROUND((D37/C37),5)</f>
        <v>7.2830000000000006E-2</v>
      </c>
      <c r="F37" s="53">
        <f t="shared" si="8"/>
        <v>435378.38399999996</v>
      </c>
      <c r="G37" s="49">
        <f t="shared" ref="G37:G53" si="48">ROUND((E37*F37),2)</f>
        <v>31708.61</v>
      </c>
      <c r="H37" s="50">
        <f t="shared" si="46"/>
        <v>14903046.700000001</v>
      </c>
      <c r="I37" s="51">
        <v>3</v>
      </c>
      <c r="J37" s="14">
        <f t="shared" si="11"/>
        <v>6.3800000000000003E-3</v>
      </c>
      <c r="K37" s="51">
        <f t="shared" si="47"/>
        <v>334666.09999999998</v>
      </c>
      <c r="L37" s="51">
        <f t="shared" si="17"/>
        <v>2135.1999999999998</v>
      </c>
      <c r="M37" s="51">
        <f t="shared" si="13"/>
        <v>1003543.9999999999</v>
      </c>
      <c r="N37" s="14"/>
      <c r="O37" s="61"/>
      <c r="P37" s="53"/>
      <c r="Q37" s="51"/>
      <c r="R37" s="51"/>
      <c r="S37" s="51">
        <f>S34</f>
        <v>4688.429577464789</v>
      </c>
      <c r="T37" s="55">
        <f t="shared" si="14"/>
        <v>38532.239577464788</v>
      </c>
      <c r="U37" s="56">
        <f t="shared" si="1"/>
        <v>98700</v>
      </c>
      <c r="V37" s="57"/>
      <c r="W37" s="58">
        <f t="shared" si="43"/>
        <v>4482.183</v>
      </c>
      <c r="X37" s="14"/>
      <c r="Y37" s="58">
        <f t="shared" si="44"/>
        <v>321.83100000000002</v>
      </c>
      <c r="Z37" s="14"/>
      <c r="AA37" s="14"/>
      <c r="AB37" s="14"/>
      <c r="AC37" s="58">
        <f t="shared" si="42"/>
        <v>15925.019</v>
      </c>
      <c r="AD37" s="14"/>
      <c r="AE37" s="58">
        <f t="shared" si="45"/>
        <v>534.22500000000002</v>
      </c>
      <c r="AF37" s="59">
        <f t="shared" si="5"/>
        <v>21263.257999999998</v>
      </c>
      <c r="AG37" s="59">
        <f t="shared" si="6"/>
        <v>59795.49757746479</v>
      </c>
      <c r="AH37" s="14"/>
      <c r="AI37" s="14">
        <f>(AH34/(C34+C35+C36+C37+C38+C39+C40))*C37</f>
        <v>204726.92731647889</v>
      </c>
      <c r="AJ37" s="60">
        <f t="shared" si="0"/>
        <v>28308610.789999999</v>
      </c>
      <c r="AK37" s="16"/>
    </row>
    <row r="38" spans="1:37" ht="96" x14ac:dyDescent="0.25">
      <c r="A38" s="130"/>
      <c r="B38" s="13" t="s">
        <v>73</v>
      </c>
      <c r="C38" s="15">
        <v>173</v>
      </c>
      <c r="D38" s="14">
        <v>17.3</v>
      </c>
      <c r="E38" s="14">
        <f>ROUND((D38/C38),5)</f>
        <v>0.1</v>
      </c>
      <c r="F38" s="53">
        <f t="shared" si="8"/>
        <v>435378.38399999996</v>
      </c>
      <c r="G38" s="49">
        <f>ROUND((E38*F38),2)</f>
        <v>43537.84</v>
      </c>
      <c r="H38" s="50">
        <f t="shared" si="46"/>
        <v>7532046.3199999994</v>
      </c>
      <c r="I38" s="51">
        <v>3</v>
      </c>
      <c r="J38" s="14">
        <f t="shared" si="11"/>
        <v>1.7340000000000001E-2</v>
      </c>
      <c r="K38" s="51">
        <f t="shared" si="47"/>
        <v>334666.09999999998</v>
      </c>
      <c r="L38" s="51">
        <f t="shared" si="17"/>
        <v>5803.1</v>
      </c>
      <c r="M38" s="51">
        <f t="shared" si="13"/>
        <v>1003936.3</v>
      </c>
      <c r="N38" s="15"/>
      <c r="O38" s="61"/>
      <c r="P38" s="53"/>
      <c r="Q38" s="51"/>
      <c r="R38" s="51"/>
      <c r="S38" s="51">
        <f>S34</f>
        <v>4688.429577464789</v>
      </c>
      <c r="T38" s="55">
        <f t="shared" si="14"/>
        <v>54029.369577464786</v>
      </c>
      <c r="U38" s="56">
        <f t="shared" si="1"/>
        <v>36330</v>
      </c>
      <c r="V38" s="57"/>
      <c r="W38" s="58">
        <f t="shared" si="43"/>
        <v>4482.183</v>
      </c>
      <c r="X38" s="14"/>
      <c r="Y38" s="58">
        <f t="shared" si="44"/>
        <v>321.83100000000002</v>
      </c>
      <c r="Z38" s="14"/>
      <c r="AA38" s="14"/>
      <c r="AB38" s="14"/>
      <c r="AC38" s="58">
        <f t="shared" si="42"/>
        <v>15925.019</v>
      </c>
      <c r="AD38" s="14"/>
      <c r="AE38" s="58">
        <f t="shared" si="45"/>
        <v>534.22500000000002</v>
      </c>
      <c r="AF38" s="59">
        <f t="shared" si="5"/>
        <v>21263.257999999998</v>
      </c>
      <c r="AG38" s="59">
        <f t="shared" si="6"/>
        <v>75292.62757746478</v>
      </c>
      <c r="AH38" s="14"/>
      <c r="AI38" s="14">
        <f>(AH34/(C34+C35+C36+C37+C38+C39+C40))*C38</f>
        <v>75356.932820746486</v>
      </c>
      <c r="AJ38" s="60">
        <f t="shared" si="0"/>
        <v>13100981.5</v>
      </c>
      <c r="AK38" s="16"/>
    </row>
    <row r="39" spans="1:37" ht="48" x14ac:dyDescent="0.25">
      <c r="A39" s="130"/>
      <c r="B39" s="13" t="s">
        <v>74</v>
      </c>
      <c r="C39" s="15"/>
      <c r="D39" s="14"/>
      <c r="E39" s="14">
        <v>0</v>
      </c>
      <c r="F39" s="53">
        <f t="shared" si="8"/>
        <v>435378.38399999996</v>
      </c>
      <c r="G39" s="49">
        <f t="shared" si="48"/>
        <v>0</v>
      </c>
      <c r="H39" s="50">
        <f t="shared" si="46"/>
        <v>0</v>
      </c>
      <c r="I39" s="51"/>
      <c r="J39" s="14">
        <v>0</v>
      </c>
      <c r="K39" s="51">
        <f t="shared" si="47"/>
        <v>334666.09999999998</v>
      </c>
      <c r="L39" s="51">
        <f t="shared" si="17"/>
        <v>0</v>
      </c>
      <c r="M39" s="51">
        <f t="shared" si="13"/>
        <v>0</v>
      </c>
      <c r="N39" s="15"/>
      <c r="O39" s="61"/>
      <c r="P39" s="53"/>
      <c r="Q39" s="51"/>
      <c r="R39" s="51"/>
      <c r="S39" s="51"/>
      <c r="T39" s="55">
        <f t="shared" si="14"/>
        <v>0</v>
      </c>
      <c r="U39" s="56">
        <f t="shared" si="1"/>
        <v>0</v>
      </c>
      <c r="V39" s="57"/>
      <c r="W39" s="58">
        <f t="shared" si="43"/>
        <v>4482.183</v>
      </c>
      <c r="X39" s="14"/>
      <c r="Y39" s="58">
        <f t="shared" si="44"/>
        <v>321.83100000000002</v>
      </c>
      <c r="Z39" s="14"/>
      <c r="AA39" s="14"/>
      <c r="AB39" s="14"/>
      <c r="AC39" s="58">
        <f t="shared" si="42"/>
        <v>15925.019</v>
      </c>
      <c r="AD39" s="14"/>
      <c r="AE39" s="58">
        <f t="shared" si="45"/>
        <v>534.22500000000002</v>
      </c>
      <c r="AF39" s="59">
        <f t="shared" si="5"/>
        <v>21263.257999999998</v>
      </c>
      <c r="AG39" s="59">
        <f t="shared" si="6"/>
        <v>21263.257999999998</v>
      </c>
      <c r="AH39" s="14"/>
      <c r="AI39" s="14">
        <f>(AH34/(C34+C35+C36+C37+C38+C39+C40))*C39</f>
        <v>0</v>
      </c>
      <c r="AJ39" s="60">
        <f t="shared" si="0"/>
        <v>0</v>
      </c>
      <c r="AK39" s="16"/>
    </row>
    <row r="40" spans="1:37" ht="96" x14ac:dyDescent="0.25">
      <c r="A40" s="131"/>
      <c r="B40" s="13" t="s">
        <v>75</v>
      </c>
      <c r="C40" s="15">
        <v>105</v>
      </c>
      <c r="D40" s="15">
        <v>11</v>
      </c>
      <c r="E40" s="14">
        <f t="shared" si="7"/>
        <v>0.10476000000000001</v>
      </c>
      <c r="F40" s="53">
        <f t="shared" si="8"/>
        <v>435378.38399999996</v>
      </c>
      <c r="G40" s="49">
        <f t="shared" si="48"/>
        <v>45610.239999999998</v>
      </c>
      <c r="H40" s="50">
        <f t="shared" si="46"/>
        <v>4789075.2</v>
      </c>
      <c r="I40" s="51">
        <v>3</v>
      </c>
      <c r="J40" s="14">
        <f t="shared" si="11"/>
        <v>2.8570000000000002E-2</v>
      </c>
      <c r="K40" s="51">
        <f t="shared" si="47"/>
        <v>334666.09999999998</v>
      </c>
      <c r="L40" s="51">
        <f t="shared" si="17"/>
        <v>9561.4</v>
      </c>
      <c r="M40" s="51">
        <f t="shared" si="13"/>
        <v>1003947</v>
      </c>
      <c r="N40" s="15"/>
      <c r="O40" s="61"/>
      <c r="P40" s="53"/>
      <c r="Q40" s="51"/>
      <c r="R40" s="51"/>
      <c r="S40" s="51">
        <f>S34</f>
        <v>4688.429577464789</v>
      </c>
      <c r="T40" s="55">
        <f t="shared" si="14"/>
        <v>59860.06957746479</v>
      </c>
      <c r="U40" s="56">
        <f t="shared" si="1"/>
        <v>22050</v>
      </c>
      <c r="V40" s="57"/>
      <c r="W40" s="58">
        <f t="shared" si="43"/>
        <v>4482.183</v>
      </c>
      <c r="X40" s="14"/>
      <c r="Y40" s="58">
        <f t="shared" si="44"/>
        <v>321.83100000000002</v>
      </c>
      <c r="Z40" s="14"/>
      <c r="AA40" s="14"/>
      <c r="AB40" s="14"/>
      <c r="AC40" s="58">
        <f t="shared" si="42"/>
        <v>15925.019</v>
      </c>
      <c r="AD40" s="14"/>
      <c r="AE40" s="58">
        <f t="shared" si="45"/>
        <v>534.22500000000002</v>
      </c>
      <c r="AF40" s="59">
        <f t="shared" si="5"/>
        <v>21263.257999999998</v>
      </c>
      <c r="AG40" s="59">
        <f t="shared" si="6"/>
        <v>81123.327577464792</v>
      </c>
      <c r="AH40" s="14"/>
      <c r="AI40" s="14">
        <f>(AH34/(C34+C35+C36+C37+C38+C39+C40))*C40</f>
        <v>45736.866740915495</v>
      </c>
      <c r="AJ40" s="60">
        <f t="shared" si="0"/>
        <v>8563686.2599999998</v>
      </c>
      <c r="AK40" s="16"/>
    </row>
    <row r="41" spans="1:37" ht="60" x14ac:dyDescent="0.25">
      <c r="A41" s="129" t="s">
        <v>86</v>
      </c>
      <c r="B41" s="13" t="s">
        <v>26</v>
      </c>
      <c r="C41" s="15">
        <v>124</v>
      </c>
      <c r="D41" s="15"/>
      <c r="E41" s="14"/>
      <c r="F41" s="53">
        <f t="shared" si="8"/>
        <v>435378.38399999996</v>
      </c>
      <c r="G41" s="49">
        <f t="shared" si="48"/>
        <v>0</v>
      </c>
      <c r="H41" s="50">
        <f t="shared" si="46"/>
        <v>0</v>
      </c>
      <c r="I41" s="51">
        <v>11.8</v>
      </c>
      <c r="J41" s="14">
        <f t="shared" si="11"/>
        <v>9.5159999999999995E-2</v>
      </c>
      <c r="K41" s="51">
        <f>ROUND((38000*1.302*12),1)</f>
        <v>593712</v>
      </c>
      <c r="L41" s="51">
        <f t="shared" si="17"/>
        <v>56497.599999999999</v>
      </c>
      <c r="M41" s="51">
        <f t="shared" si="13"/>
        <v>7005702.3999999994</v>
      </c>
      <c r="N41" s="15">
        <v>6.9</v>
      </c>
      <c r="O41" s="61">
        <f>ROUND((N41/C41),5)</f>
        <v>5.5649999999999998E-2</v>
      </c>
      <c r="P41" s="53">
        <f>ROUND((17100*12*1.302),1)</f>
        <v>267170.40000000002</v>
      </c>
      <c r="Q41" s="51">
        <f>ROUND((O41*P41),2)</f>
        <v>14868.03</v>
      </c>
      <c r="R41" s="51">
        <f>C41*Q41</f>
        <v>1843635.72</v>
      </c>
      <c r="S41" s="51">
        <f>'[1]ФОТ на 2023'!S17/([1]свод!C41+[1]свод!C42+[1]свод!C43+C44+C45+C46)*10%*1000</f>
        <v>6765.4892601431984</v>
      </c>
      <c r="T41" s="55">
        <f t="shared" si="14"/>
        <v>78131.119260143198</v>
      </c>
      <c r="U41" s="56">
        <f t="shared" si="1"/>
        <v>26040</v>
      </c>
      <c r="V41" s="57">
        <v>3371500</v>
      </c>
      <c r="W41" s="58">
        <f>ROUND((($V$41/($U$41+$U$42+$U$43+$U$44+$U$45+$U$46))*(35*6)),3)</f>
        <v>8046.5389999999998</v>
      </c>
      <c r="X41" s="14">
        <v>742764</v>
      </c>
      <c r="Y41" s="62">
        <f>ROUND((($X$41/($U$41+$U$42+$U$43+$U$44+$U$45+$U$46))*(35*6)),3)</f>
        <v>1772.7059999999999</v>
      </c>
      <c r="Z41" s="14"/>
      <c r="AA41" s="62"/>
      <c r="AB41" s="14">
        <f>ROUND((('[1]ФОТ на 2023'!M17+'[1]ФОТ на 2023'!M18+'[1]ФОТ на 2023'!P17+'[1]ФОТ на 2023'!P18+'[1]ФОТ на 2023'!V17+'[1]ФОТ на 2023'!Y17+'[1]ФОТ на 2023'!Y18)*1.302*1000),1)</f>
        <v>13726725.6</v>
      </c>
      <c r="AC41" s="62">
        <f>ROUND((($AB$41/($U$41+$U$42+$U$43+$U$44+$U$45+$U$46))*(35*6)),3)</f>
        <v>32760.682000000001</v>
      </c>
      <c r="AD41" s="14">
        <v>1145180</v>
      </c>
      <c r="AE41" s="62">
        <f>ROUND((($AD$41/($U$41+$U$42+$U$43+$U$44+$U$45+$U$46))*(35*6)),3)</f>
        <v>2733.1260000000002</v>
      </c>
      <c r="AF41" s="59">
        <f t="shared" si="5"/>
        <v>45313.053</v>
      </c>
      <c r="AG41" s="59">
        <f t="shared" si="6"/>
        <v>123444.1722601432</v>
      </c>
      <c r="AH41" s="14">
        <v>699892.53015000001</v>
      </c>
      <c r="AI41" s="14">
        <f>(AH41/(C41+C42+C43+C44+C45+C46))*C41</f>
        <v>207128.09961479713</v>
      </c>
      <c r="AJ41" s="60">
        <f t="shared" si="0"/>
        <v>15514205.460000001</v>
      </c>
      <c r="AK41" s="16">
        <f>ROUND(((AJ41+AJ42+AJ43+AJ44+AJ45+AJ46)/1000),1)</f>
        <v>44477</v>
      </c>
    </row>
    <row r="42" spans="1:37" ht="48" x14ac:dyDescent="0.25">
      <c r="A42" s="130"/>
      <c r="B42" s="13" t="s">
        <v>71</v>
      </c>
      <c r="C42" s="15">
        <v>121</v>
      </c>
      <c r="D42" s="15">
        <v>6.3</v>
      </c>
      <c r="E42" s="14">
        <f t="shared" si="7"/>
        <v>5.2069999999999998E-2</v>
      </c>
      <c r="F42" s="53">
        <f t="shared" si="8"/>
        <v>435378.38399999996</v>
      </c>
      <c r="G42" s="49">
        <f t="shared" si="48"/>
        <v>22670.15</v>
      </c>
      <c r="H42" s="50">
        <f t="shared" si="46"/>
        <v>2743088.1500000004</v>
      </c>
      <c r="I42" s="51">
        <v>1.1499999999999999</v>
      </c>
      <c r="J42" s="14">
        <f t="shared" si="11"/>
        <v>9.4999999999999998E-3</v>
      </c>
      <c r="K42" s="51">
        <f t="shared" si="47"/>
        <v>334666.09999999998</v>
      </c>
      <c r="L42" s="51">
        <f t="shared" si="17"/>
        <v>3179.3</v>
      </c>
      <c r="M42" s="51">
        <f t="shared" si="13"/>
        <v>384695.30000000005</v>
      </c>
      <c r="N42" s="15"/>
      <c r="O42" s="61"/>
      <c r="P42" s="53"/>
      <c r="Q42" s="51"/>
      <c r="R42" s="51"/>
      <c r="S42" s="51">
        <f>S41</f>
        <v>6765.4892601431984</v>
      </c>
      <c r="T42" s="55">
        <f t="shared" si="14"/>
        <v>32614.939260143197</v>
      </c>
      <c r="U42" s="56">
        <f t="shared" si="1"/>
        <v>25410</v>
      </c>
      <c r="V42" s="98"/>
      <c r="W42" s="58">
        <f t="shared" ref="W42:W46" si="49">ROUND((($V$41/($U$41+$U$42+$U$43+$U$44+$U$45+$U$46))*(35*6)),3)</f>
        <v>8046.5389999999998</v>
      </c>
      <c r="Y42" s="62">
        <f t="shared" ref="Y42:Y46" si="50">ROUND((($X$41/($U$41+$U$42+$U$43+$U$44+$U$45+$U$46))*(35*6)),3)</f>
        <v>1772.7059999999999</v>
      </c>
      <c r="Z42" s="14"/>
      <c r="AA42" s="58">
        <f>ROUND(((Z42/(U42+U43+U44+U46))*(35*6)),3)</f>
        <v>0</v>
      </c>
      <c r="AB42" s="14"/>
      <c r="AC42" s="62">
        <f t="shared" ref="AC42:AC46" si="51">ROUND((($AB$41/($U$41+$U$42+$U$43+$U$44+$U$45+$U$46))*(35*6)),3)</f>
        <v>32760.682000000001</v>
      </c>
      <c r="AE42" s="62">
        <f t="shared" ref="AE42:AE46" si="52">ROUND((($AD$41/($U$41+$U$42+$U$43+$U$44+$U$45+$U$46))*(35*6)),3)</f>
        <v>2733.1260000000002</v>
      </c>
      <c r="AF42" s="59">
        <f t="shared" si="5"/>
        <v>45313.053</v>
      </c>
      <c r="AG42" s="59">
        <f t="shared" si="6"/>
        <v>77927.99226014319</v>
      </c>
      <c r="AH42" s="14"/>
      <c r="AI42" s="14">
        <f>(AH41/(C41+C42+C43+C44+C45+C46))*C42</f>
        <v>202116.93591443915</v>
      </c>
      <c r="AJ42" s="60">
        <f t="shared" si="0"/>
        <v>9631404</v>
      </c>
      <c r="AK42" s="16"/>
    </row>
    <row r="43" spans="1:37" ht="60" x14ac:dyDescent="0.25">
      <c r="A43" s="130"/>
      <c r="B43" s="13" t="s">
        <v>77</v>
      </c>
      <c r="C43" s="15">
        <v>6</v>
      </c>
      <c r="D43" s="15">
        <v>2</v>
      </c>
      <c r="E43" s="14">
        <f t="shared" si="7"/>
        <v>0.33333000000000002</v>
      </c>
      <c r="F43" s="53">
        <f t="shared" si="8"/>
        <v>435378.38399999996</v>
      </c>
      <c r="G43" s="49">
        <f>ROUND((E43*F43),2)</f>
        <v>145124.68</v>
      </c>
      <c r="H43" s="50">
        <f t="shared" si="46"/>
        <v>870748.08</v>
      </c>
      <c r="I43" s="51">
        <v>0.75</v>
      </c>
      <c r="J43" s="14">
        <f t="shared" si="11"/>
        <v>0.125</v>
      </c>
      <c r="K43" s="51">
        <f t="shared" si="47"/>
        <v>334666.09999999998</v>
      </c>
      <c r="L43" s="51">
        <f t="shared" si="17"/>
        <v>41833.300000000003</v>
      </c>
      <c r="M43" s="51">
        <f t="shared" si="13"/>
        <v>250999.80000000002</v>
      </c>
      <c r="N43" s="15"/>
      <c r="O43" s="61"/>
      <c r="P43" s="53"/>
      <c r="Q43" s="51"/>
      <c r="R43" s="51"/>
      <c r="S43" s="51">
        <f>S41</f>
        <v>6765.4892601431984</v>
      </c>
      <c r="T43" s="55">
        <f t="shared" si="14"/>
        <v>193723.46926014317</v>
      </c>
      <c r="U43" s="56">
        <f t="shared" si="1"/>
        <v>1260</v>
      </c>
      <c r="V43" s="63"/>
      <c r="W43" s="58">
        <f t="shared" si="49"/>
        <v>8046.5389999999998</v>
      </c>
      <c r="X43" s="14"/>
      <c r="Y43" s="62">
        <f t="shared" si="50"/>
        <v>1772.7059999999999</v>
      </c>
      <c r="Z43" s="14"/>
      <c r="AA43" s="14"/>
      <c r="AB43" s="14"/>
      <c r="AC43" s="62">
        <f t="shared" si="51"/>
        <v>32760.682000000001</v>
      </c>
      <c r="AD43" s="14"/>
      <c r="AE43" s="62">
        <f t="shared" si="52"/>
        <v>2733.1260000000002</v>
      </c>
      <c r="AF43" s="59">
        <f t="shared" si="5"/>
        <v>45313.053</v>
      </c>
      <c r="AG43" s="59">
        <f t="shared" si="6"/>
        <v>239036.52226014319</v>
      </c>
      <c r="AH43" s="14"/>
      <c r="AI43" s="14">
        <f>(AH41/(C41+C42+C43+C44+C45+C46))*C43</f>
        <v>10022.327400715991</v>
      </c>
      <c r="AJ43" s="60">
        <f t="shared" si="0"/>
        <v>1444241.46</v>
      </c>
      <c r="AK43" s="16"/>
    </row>
    <row r="44" spans="1:37" ht="48" x14ac:dyDescent="0.25">
      <c r="A44" s="130"/>
      <c r="B44" s="13" t="s">
        <v>72</v>
      </c>
      <c r="C44" s="15">
        <v>143</v>
      </c>
      <c r="D44" s="15">
        <v>14.23</v>
      </c>
      <c r="E44" s="14">
        <f t="shared" si="7"/>
        <v>9.9510000000000001E-2</v>
      </c>
      <c r="F44" s="53">
        <f t="shared" si="8"/>
        <v>435378.38399999996</v>
      </c>
      <c r="G44" s="49">
        <f t="shared" si="48"/>
        <v>43324.5</v>
      </c>
      <c r="H44" s="50">
        <f t="shared" si="46"/>
        <v>6195403.5</v>
      </c>
      <c r="I44" s="51">
        <v>1.35</v>
      </c>
      <c r="J44" s="14">
        <f t="shared" si="11"/>
        <v>9.4400000000000005E-3</v>
      </c>
      <c r="K44" s="51">
        <f t="shared" si="47"/>
        <v>334666.09999999998</v>
      </c>
      <c r="L44" s="51">
        <f t="shared" si="17"/>
        <v>3159.2</v>
      </c>
      <c r="M44" s="51">
        <f t="shared" si="13"/>
        <v>451765.6</v>
      </c>
      <c r="N44" s="15"/>
      <c r="O44" s="61"/>
      <c r="P44" s="53"/>
      <c r="Q44" s="51"/>
      <c r="R44" s="51"/>
      <c r="S44" s="51">
        <f>S41</f>
        <v>6765.4892601431984</v>
      </c>
      <c r="T44" s="55">
        <f t="shared" si="14"/>
        <v>53249.189260143197</v>
      </c>
      <c r="U44" s="56">
        <f t="shared" si="1"/>
        <v>30030</v>
      </c>
      <c r="V44" s="63"/>
      <c r="W44" s="58">
        <f t="shared" si="49"/>
        <v>8046.5389999999998</v>
      </c>
      <c r="X44" s="14"/>
      <c r="Y44" s="62">
        <f t="shared" si="50"/>
        <v>1772.7059999999999</v>
      </c>
      <c r="Z44" s="14"/>
      <c r="AA44" s="14"/>
      <c r="AB44" s="14"/>
      <c r="AC44" s="62">
        <f t="shared" si="51"/>
        <v>32760.682000000001</v>
      </c>
      <c r="AD44" s="14"/>
      <c r="AE44" s="62">
        <f t="shared" si="52"/>
        <v>2733.1260000000002</v>
      </c>
      <c r="AF44" s="59">
        <f t="shared" si="5"/>
        <v>45313.053</v>
      </c>
      <c r="AG44" s="59">
        <f t="shared" si="6"/>
        <v>98562.24226014319</v>
      </c>
      <c r="AH44" s="14"/>
      <c r="AI44" s="14">
        <f>(AH41/(C41+C42+C43+C44+C45+C46))*C44</f>
        <v>238865.46971706444</v>
      </c>
      <c r="AJ44" s="60">
        <f t="shared" si="0"/>
        <v>14333266.109999999</v>
      </c>
      <c r="AK44" s="16"/>
    </row>
    <row r="45" spans="1:37" ht="60" x14ac:dyDescent="0.25">
      <c r="A45" s="130"/>
      <c r="B45" s="13" t="s">
        <v>80</v>
      </c>
      <c r="C45" s="15">
        <v>11</v>
      </c>
      <c r="D45" s="15">
        <v>2.5</v>
      </c>
      <c r="E45" s="14">
        <f t="shared" si="7"/>
        <v>0.22727</v>
      </c>
      <c r="F45" s="53">
        <f t="shared" si="8"/>
        <v>435378.38399999996</v>
      </c>
      <c r="G45" s="49">
        <f t="shared" si="48"/>
        <v>98948.45</v>
      </c>
      <c r="H45" s="50">
        <f t="shared" si="46"/>
        <v>1088432.95</v>
      </c>
      <c r="I45" s="51">
        <v>0.75</v>
      </c>
      <c r="J45" s="14">
        <f t="shared" si="11"/>
        <v>6.8180000000000004E-2</v>
      </c>
      <c r="K45" s="51">
        <f t="shared" si="47"/>
        <v>334666.09999999998</v>
      </c>
      <c r="L45" s="51">
        <f t="shared" si="17"/>
        <v>22817.5</v>
      </c>
      <c r="M45" s="51">
        <f t="shared" si="13"/>
        <v>250992.5</v>
      </c>
      <c r="N45" s="15"/>
      <c r="O45" s="61"/>
      <c r="P45" s="53"/>
      <c r="Q45" s="51"/>
      <c r="R45" s="51"/>
      <c r="S45" s="51">
        <f>S41</f>
        <v>6765.4892601431984</v>
      </c>
      <c r="T45" s="55">
        <f t="shared" si="14"/>
        <v>128531.43926014319</v>
      </c>
      <c r="U45" s="56">
        <f t="shared" si="1"/>
        <v>2310</v>
      </c>
      <c r="V45" s="63"/>
      <c r="W45" s="58">
        <f t="shared" si="49"/>
        <v>8046.5389999999998</v>
      </c>
      <c r="X45" s="14"/>
      <c r="Y45" s="62">
        <f t="shared" si="50"/>
        <v>1772.7059999999999</v>
      </c>
      <c r="Z45" s="14"/>
      <c r="AA45" s="14"/>
      <c r="AB45" s="14"/>
      <c r="AC45" s="62">
        <f t="shared" si="51"/>
        <v>32760.682000000001</v>
      </c>
      <c r="AD45" s="14"/>
      <c r="AE45" s="62">
        <f t="shared" si="52"/>
        <v>2733.1260000000002</v>
      </c>
      <c r="AF45" s="59">
        <f t="shared" si="5"/>
        <v>45313.053</v>
      </c>
      <c r="AG45" s="59">
        <f t="shared" si="6"/>
        <v>173844.49226014319</v>
      </c>
      <c r="AH45" s="14"/>
      <c r="AI45" s="14">
        <f>(AH41/(C41+C42+C43+C44+C45+C46))*C45</f>
        <v>18374.266901312651</v>
      </c>
      <c r="AJ45" s="60">
        <f t="shared" si="0"/>
        <v>1930663.68</v>
      </c>
      <c r="AK45" s="16"/>
    </row>
    <row r="46" spans="1:37" ht="48" x14ac:dyDescent="0.25">
      <c r="A46" s="131"/>
      <c r="B46" s="13" t="s">
        <v>74</v>
      </c>
      <c r="C46" s="15">
        <v>14</v>
      </c>
      <c r="D46" s="14">
        <v>2</v>
      </c>
      <c r="E46" s="14">
        <f t="shared" si="7"/>
        <v>0.14285999999999999</v>
      </c>
      <c r="F46" s="53">
        <f t="shared" si="8"/>
        <v>435378.38399999996</v>
      </c>
      <c r="G46" s="49">
        <f t="shared" si="48"/>
        <v>62198.16</v>
      </c>
      <c r="H46" s="50">
        <f t="shared" si="46"/>
        <v>870774.24</v>
      </c>
      <c r="I46" s="51"/>
      <c r="J46" s="14">
        <f t="shared" si="11"/>
        <v>0</v>
      </c>
      <c r="K46" s="51">
        <f t="shared" si="47"/>
        <v>334666.09999999998</v>
      </c>
      <c r="L46" s="51">
        <f t="shared" si="17"/>
        <v>0</v>
      </c>
      <c r="M46" s="51">
        <f t="shared" si="13"/>
        <v>0</v>
      </c>
      <c r="N46" s="14"/>
      <c r="O46" s="61"/>
      <c r="P46" s="53"/>
      <c r="Q46" s="51"/>
      <c r="R46" s="51"/>
      <c r="S46" s="51">
        <f>S41</f>
        <v>6765.4892601431984</v>
      </c>
      <c r="T46" s="55">
        <f t="shared" si="14"/>
        <v>68963.649260143196</v>
      </c>
      <c r="U46" s="56">
        <f t="shared" si="1"/>
        <v>2940</v>
      </c>
      <c r="V46" s="63"/>
      <c r="W46" s="58">
        <f t="shared" si="49"/>
        <v>8046.5389999999998</v>
      </c>
      <c r="X46" s="14"/>
      <c r="Y46" s="62">
        <f t="shared" si="50"/>
        <v>1772.7059999999999</v>
      </c>
      <c r="Z46" s="14"/>
      <c r="AA46" s="14"/>
      <c r="AB46" s="14"/>
      <c r="AC46" s="62">
        <f t="shared" si="51"/>
        <v>32760.682000000001</v>
      </c>
      <c r="AD46" s="14"/>
      <c r="AE46" s="62">
        <f t="shared" si="52"/>
        <v>2733.1260000000002</v>
      </c>
      <c r="AF46" s="59">
        <f t="shared" si="5"/>
        <v>45313.053</v>
      </c>
      <c r="AG46" s="59">
        <f t="shared" si="6"/>
        <v>114276.7022601432</v>
      </c>
      <c r="AH46" s="14"/>
      <c r="AI46" s="14">
        <f>(AH41/(C41+C42+C43+C44+C45+C46))*C46</f>
        <v>23385.430601670647</v>
      </c>
      <c r="AJ46" s="60">
        <f t="shared" si="0"/>
        <v>1623259.26</v>
      </c>
      <c r="AK46" s="16"/>
    </row>
    <row r="47" spans="1:37" ht="48" x14ac:dyDescent="0.25">
      <c r="A47" s="129" t="s">
        <v>87</v>
      </c>
      <c r="B47" s="13" t="s">
        <v>71</v>
      </c>
      <c r="C47" s="15">
        <v>149</v>
      </c>
      <c r="D47" s="14">
        <v>13.98</v>
      </c>
      <c r="E47" s="14">
        <f t="shared" si="7"/>
        <v>9.3829999999999997E-2</v>
      </c>
      <c r="F47" s="53">
        <f t="shared" si="8"/>
        <v>435378.38399999996</v>
      </c>
      <c r="G47" s="49">
        <f t="shared" si="48"/>
        <v>40851.550000000003</v>
      </c>
      <c r="H47" s="50">
        <f t="shared" si="46"/>
        <v>6086880.9500000002</v>
      </c>
      <c r="I47" s="51">
        <v>1.46</v>
      </c>
      <c r="J47" s="14">
        <f t="shared" si="11"/>
        <v>9.7999999999999997E-3</v>
      </c>
      <c r="K47" s="51">
        <f t="shared" si="47"/>
        <v>334666.09999999998</v>
      </c>
      <c r="L47" s="51">
        <f t="shared" si="17"/>
        <v>3279.7</v>
      </c>
      <c r="M47" s="51">
        <f t="shared" si="13"/>
        <v>488675.3</v>
      </c>
      <c r="N47" s="14"/>
      <c r="O47" s="61"/>
      <c r="P47" s="53"/>
      <c r="Q47" s="51"/>
      <c r="R47" s="51"/>
      <c r="S47" s="51">
        <f>'[1]ФОТ на 2023'!S19/([1]свод!C47+[1]свод!C48+C49+[1]свод!C50)*10%*1000</f>
        <v>6770.596590909091</v>
      </c>
      <c r="T47" s="55">
        <f t="shared" si="14"/>
        <v>50901.846590909088</v>
      </c>
      <c r="U47" s="56">
        <f t="shared" si="1"/>
        <v>31290</v>
      </c>
      <c r="V47" s="63">
        <v>1537700</v>
      </c>
      <c r="W47" s="58">
        <f>ROUND((($V$47/($U$47+$U$48+$U$49+$U$50))*(35*6)),3)</f>
        <v>4368.4660000000003</v>
      </c>
      <c r="X47" s="14">
        <v>416112.08</v>
      </c>
      <c r="Y47" s="58">
        <f>ROUND((($X$47/($U$47+$U$48+$U$49+$U$50))*(35*6)),3)</f>
        <v>1182.1369999999999</v>
      </c>
      <c r="Z47" s="14"/>
      <c r="AA47" s="58">
        <f>ROUND(((Z47/(U47+U48+U50))*(35*6)),3)</f>
        <v>0</v>
      </c>
      <c r="AB47" s="14">
        <f>ROUND((('[1]ФОТ на 2023'!M19+'[1]ФОТ на 2023'!P19+'[1]ФОТ на 2023'!V19+'[1]ФОТ на 2023'!Y19)*1.302*1000),1)</f>
        <v>7774632.5999999996</v>
      </c>
      <c r="AC47" s="58">
        <f>ROUND((($AB$47/($U$47+$U$48+$U$49+$U$50))*(35*6)),3)</f>
        <v>22087.024000000001</v>
      </c>
      <c r="AD47" s="14">
        <v>425412</v>
      </c>
      <c r="AE47" s="58">
        <f>ROUND((($AD$47/($U$47+$U$48+$U$49+$U$50))*(35*6)),3)</f>
        <v>1208.557</v>
      </c>
      <c r="AF47" s="59">
        <f t="shared" si="5"/>
        <v>28846.184000000001</v>
      </c>
      <c r="AG47" s="59">
        <f>T47+AF47</f>
        <v>79748.030590909097</v>
      </c>
      <c r="AH47" s="14">
        <v>94760.730349999998</v>
      </c>
      <c r="AI47" s="14">
        <f>(AH47/(C47+C48+C49+C50))*C47</f>
        <v>40111.786426562496</v>
      </c>
      <c r="AJ47" s="60">
        <f>ROUND(((AG47*C47)+AI47),2)</f>
        <v>11922568.34</v>
      </c>
      <c r="AK47" s="16">
        <f>ROUND(((AJ47+AJ48+AJ49+AJ50)/1000),1)</f>
        <v>31913.200000000001</v>
      </c>
    </row>
    <row r="48" spans="1:37" ht="53.25" customHeight="1" x14ac:dyDescent="0.25">
      <c r="A48" s="130"/>
      <c r="B48" s="13" t="s">
        <v>72</v>
      </c>
      <c r="C48" s="15">
        <v>170</v>
      </c>
      <c r="D48" s="14">
        <v>20.61</v>
      </c>
      <c r="E48" s="14">
        <f t="shared" si="7"/>
        <v>0.12124</v>
      </c>
      <c r="F48" s="53">
        <f t="shared" si="8"/>
        <v>435378.38399999996</v>
      </c>
      <c r="G48" s="49">
        <f t="shared" si="48"/>
        <v>52785.279999999999</v>
      </c>
      <c r="H48" s="50">
        <f t="shared" si="46"/>
        <v>8973497.5999999996</v>
      </c>
      <c r="I48" s="51">
        <v>1.7</v>
      </c>
      <c r="J48" s="14">
        <f t="shared" si="11"/>
        <v>0.01</v>
      </c>
      <c r="K48" s="51">
        <f t="shared" si="47"/>
        <v>334666.09999999998</v>
      </c>
      <c r="L48" s="51">
        <f t="shared" si="17"/>
        <v>3346.7</v>
      </c>
      <c r="M48" s="51">
        <f t="shared" si="13"/>
        <v>568939</v>
      </c>
      <c r="N48" s="14"/>
      <c r="O48" s="61"/>
      <c r="P48" s="53"/>
      <c r="Q48" s="51"/>
      <c r="R48" s="51"/>
      <c r="S48" s="51">
        <f>S47</f>
        <v>6770.596590909091</v>
      </c>
      <c r="T48" s="55">
        <f t="shared" si="14"/>
        <v>62902.576590909084</v>
      </c>
      <c r="U48" s="56">
        <f t="shared" si="1"/>
        <v>35700</v>
      </c>
      <c r="V48" s="63"/>
      <c r="W48" s="58">
        <f t="shared" ref="W48:W50" si="53">ROUND((($V$47/($U$47+$U$48+$U$49+$U$50))*(35*6)),3)</f>
        <v>4368.4660000000003</v>
      </c>
      <c r="X48" s="14"/>
      <c r="Y48" s="58">
        <f t="shared" ref="Y48:Y50" si="54">ROUND((($X$47/($U$47+$U$48+$U$49+$U$50))*(35*6)),3)</f>
        <v>1182.1369999999999</v>
      </c>
      <c r="Z48" s="14"/>
      <c r="AA48" s="14"/>
      <c r="AB48" s="14"/>
      <c r="AC48" s="58">
        <f t="shared" ref="AC48:AC50" si="55">ROUND((($AB$47/($U$47+$U$48+$U$49+$U$50))*(35*6)),3)</f>
        <v>22087.024000000001</v>
      </c>
      <c r="AD48" s="14"/>
      <c r="AE48" s="58">
        <f t="shared" ref="AE48:AE50" si="56">ROUND((($AD$47/($U$47+$U$48+$U$49+$U$50))*(35*6)),3)</f>
        <v>1208.557</v>
      </c>
      <c r="AF48" s="59">
        <f t="shared" si="5"/>
        <v>28846.184000000001</v>
      </c>
      <c r="AG48" s="59">
        <f t="shared" si="6"/>
        <v>91748.760590909078</v>
      </c>
      <c r="AH48" s="14"/>
      <c r="AI48" s="14">
        <f>(AH47/(C47+C48+C49+C50))*C48</f>
        <v>45765.125453124994</v>
      </c>
      <c r="AJ48" s="60">
        <f t="shared" si="0"/>
        <v>15643054.43</v>
      </c>
      <c r="AK48" s="16"/>
    </row>
    <row r="49" spans="1:37" ht="66" customHeight="1" x14ac:dyDescent="0.25">
      <c r="A49" s="130"/>
      <c r="B49" s="13" t="s">
        <v>80</v>
      </c>
      <c r="C49" s="15">
        <v>11</v>
      </c>
      <c r="D49" s="14">
        <v>2</v>
      </c>
      <c r="E49" s="14">
        <f t="shared" si="7"/>
        <v>0.18182000000000001</v>
      </c>
      <c r="F49" s="53">
        <f t="shared" si="8"/>
        <v>435378.38399999996</v>
      </c>
      <c r="G49" s="49">
        <f t="shared" si="48"/>
        <v>79160.5</v>
      </c>
      <c r="H49" s="50">
        <f t="shared" si="46"/>
        <v>870765.5</v>
      </c>
      <c r="I49" s="51">
        <v>0.34</v>
      </c>
      <c r="J49" s="14">
        <f t="shared" si="11"/>
        <v>3.091E-2</v>
      </c>
      <c r="K49" s="51">
        <f t="shared" si="47"/>
        <v>334666.09999999998</v>
      </c>
      <c r="L49" s="51">
        <f t="shared" si="17"/>
        <v>10344.5</v>
      </c>
      <c r="M49" s="51">
        <f t="shared" si="13"/>
        <v>113789.5</v>
      </c>
      <c r="N49" s="14"/>
      <c r="O49" s="61"/>
      <c r="P49" s="53"/>
      <c r="Q49" s="51"/>
      <c r="R49" s="51"/>
      <c r="S49" s="51">
        <f>S47</f>
        <v>6770.596590909091</v>
      </c>
      <c r="T49" s="55">
        <f t="shared" si="14"/>
        <v>96275.596590909088</v>
      </c>
      <c r="U49" s="56">
        <f t="shared" si="1"/>
        <v>2310</v>
      </c>
      <c r="V49" s="63"/>
      <c r="W49" s="58">
        <f t="shared" si="53"/>
        <v>4368.4660000000003</v>
      </c>
      <c r="X49" s="14"/>
      <c r="Y49" s="58">
        <f t="shared" si="54"/>
        <v>1182.1369999999999</v>
      </c>
      <c r="Z49" s="14"/>
      <c r="AA49" s="14"/>
      <c r="AB49" s="14"/>
      <c r="AC49" s="58">
        <f t="shared" si="55"/>
        <v>22087.024000000001</v>
      </c>
      <c r="AD49" s="14"/>
      <c r="AE49" s="58">
        <f t="shared" si="56"/>
        <v>1208.557</v>
      </c>
      <c r="AF49" s="59">
        <f t="shared" si="5"/>
        <v>28846.184000000001</v>
      </c>
      <c r="AG49" s="59">
        <f t="shared" si="6"/>
        <v>125121.7805909091</v>
      </c>
      <c r="AH49" s="14"/>
      <c r="AI49" s="14">
        <f>(AH47/(C47+C48+C49+C50))*C49</f>
        <v>2961.2728234374999</v>
      </c>
      <c r="AJ49" s="60">
        <f t="shared" si="0"/>
        <v>1379300.86</v>
      </c>
      <c r="AK49" s="16"/>
    </row>
    <row r="50" spans="1:37" ht="48" x14ac:dyDescent="0.25">
      <c r="A50" s="131"/>
      <c r="B50" s="13" t="s">
        <v>74</v>
      </c>
      <c r="C50" s="15">
        <v>22</v>
      </c>
      <c r="D50" s="14">
        <v>4.62</v>
      </c>
      <c r="E50" s="14">
        <f t="shared" si="7"/>
        <v>0.21</v>
      </c>
      <c r="F50" s="53">
        <f t="shared" si="8"/>
        <v>435378.38399999996</v>
      </c>
      <c r="G50" s="49">
        <f t="shared" si="48"/>
        <v>91429.46</v>
      </c>
      <c r="H50" s="50">
        <f t="shared" si="46"/>
        <v>2011448.12</v>
      </c>
      <c r="I50" s="51">
        <v>0.5</v>
      </c>
      <c r="J50" s="14">
        <f t="shared" si="11"/>
        <v>2.273E-2</v>
      </c>
      <c r="K50" s="51">
        <f t="shared" si="47"/>
        <v>334666.09999999998</v>
      </c>
      <c r="L50" s="51">
        <f t="shared" si="17"/>
        <v>7607</v>
      </c>
      <c r="M50" s="51">
        <f t="shared" si="13"/>
        <v>167354</v>
      </c>
      <c r="N50" s="14"/>
      <c r="O50" s="61"/>
      <c r="P50" s="53"/>
      <c r="Q50" s="51"/>
      <c r="R50" s="51"/>
      <c r="S50" s="51">
        <f>S47</f>
        <v>6770.596590909091</v>
      </c>
      <c r="T50" s="55">
        <f t="shared" si="14"/>
        <v>105807.05659090909</v>
      </c>
      <c r="U50" s="56">
        <f t="shared" si="1"/>
        <v>4620</v>
      </c>
      <c r="V50" s="63"/>
      <c r="W50" s="58">
        <f t="shared" si="53"/>
        <v>4368.4660000000003</v>
      </c>
      <c r="X50" s="14"/>
      <c r="Y50" s="58">
        <f t="shared" si="54"/>
        <v>1182.1369999999999</v>
      </c>
      <c r="Z50" s="14"/>
      <c r="AA50" s="14"/>
      <c r="AB50" s="14"/>
      <c r="AC50" s="58">
        <f t="shared" si="55"/>
        <v>22087.024000000001</v>
      </c>
      <c r="AD50" s="14"/>
      <c r="AE50" s="58">
        <f t="shared" si="56"/>
        <v>1208.557</v>
      </c>
      <c r="AF50" s="59">
        <f t="shared" si="5"/>
        <v>28846.184000000001</v>
      </c>
      <c r="AG50" s="59">
        <f t="shared" si="6"/>
        <v>134653.24059090909</v>
      </c>
      <c r="AH50" s="14"/>
      <c r="AI50" s="14">
        <f>(AH47/(C47+C48+C49+C50))*C50</f>
        <v>5922.5456468749999</v>
      </c>
      <c r="AJ50" s="60">
        <f t="shared" si="0"/>
        <v>2968293.84</v>
      </c>
      <c r="AK50" s="16"/>
    </row>
    <row r="51" spans="1:37" ht="48" x14ac:dyDescent="0.25">
      <c r="A51" s="129" t="s">
        <v>88</v>
      </c>
      <c r="B51" s="13" t="s">
        <v>71</v>
      </c>
      <c r="C51" s="15">
        <v>306</v>
      </c>
      <c r="D51" s="14">
        <v>18</v>
      </c>
      <c r="E51" s="14">
        <f t="shared" si="7"/>
        <v>5.8819999999999997E-2</v>
      </c>
      <c r="F51" s="53">
        <f t="shared" si="8"/>
        <v>435378.38399999996</v>
      </c>
      <c r="G51" s="49">
        <f t="shared" si="48"/>
        <v>25608.959999999999</v>
      </c>
      <c r="H51" s="50">
        <f t="shared" si="46"/>
        <v>7836341.7599999998</v>
      </c>
      <c r="I51" s="51">
        <v>2.5</v>
      </c>
      <c r="J51" s="14">
        <f t="shared" si="11"/>
        <v>8.1700000000000002E-3</v>
      </c>
      <c r="K51" s="51">
        <f t="shared" si="47"/>
        <v>334666.09999999998</v>
      </c>
      <c r="L51" s="51">
        <f t="shared" si="17"/>
        <v>2734.2</v>
      </c>
      <c r="M51" s="51">
        <f t="shared" si="13"/>
        <v>836665.2</v>
      </c>
      <c r="N51" s="14"/>
      <c r="O51" s="61"/>
      <c r="P51" s="53"/>
      <c r="Q51" s="51"/>
      <c r="R51" s="51"/>
      <c r="S51" s="51">
        <f>'[1]ФОТ на 2023'!S20/([1]свод!C51+[1]свод!C52+[1]свод!C53)*10%*1000</f>
        <v>4303.2835820895525</v>
      </c>
      <c r="T51" s="55">
        <f t="shared" si="14"/>
        <v>32646.443582089552</v>
      </c>
      <c r="U51" s="56">
        <f t="shared" si="1"/>
        <v>64260</v>
      </c>
      <c r="V51" s="63">
        <v>3742799.9999999995</v>
      </c>
      <c r="W51" s="58">
        <f>ROUND((($V$51/($U$51+$U$52+$U$53))*(35*6)),3)</f>
        <v>5586.2690000000002</v>
      </c>
      <c r="X51" s="14">
        <v>153590</v>
      </c>
      <c r="Y51" s="58">
        <f>ROUND((($X$51/($U$51+$U$52+$U$53))*(35*6)),3)</f>
        <v>229.239</v>
      </c>
      <c r="Z51" s="14"/>
      <c r="AA51" s="58">
        <f>ROUND(((Z51/(U51+U52+U53))*(35*6)),3)</f>
        <v>0</v>
      </c>
      <c r="AB51" s="14">
        <f>ROUND((('[1]ФОТ на 2023'!M20+'[1]ФОТ на 2023'!P20+'[1]ФОТ на 2023'!V20+'[1]ФОТ на 2023'!Y20)*1.302*1000),1)</f>
        <v>10533440.4</v>
      </c>
      <c r="AC51" s="58">
        <f>ROUND((($AB$51/($U$51+$U$52+$U$53))*(35*6)),3)</f>
        <v>15721.553</v>
      </c>
      <c r="AD51" s="14">
        <v>526320</v>
      </c>
      <c r="AE51" s="58">
        <f>ROUND((($AD$51/($U$51+$U$52+$U$53))*(35*6)),3)</f>
        <v>785.55200000000002</v>
      </c>
      <c r="AF51" s="59">
        <f t="shared" si="5"/>
        <v>22322.613000000001</v>
      </c>
      <c r="AG51" s="59">
        <f t="shared" si="6"/>
        <v>54969.056582089557</v>
      </c>
      <c r="AH51" s="14">
        <v>124202.5241</v>
      </c>
      <c r="AI51" s="14">
        <f>(AH51/(C51+C52+C53))*C51</f>
        <v>56725.331902388061</v>
      </c>
      <c r="AJ51" s="60">
        <f t="shared" si="0"/>
        <v>16877256.649999999</v>
      </c>
      <c r="AK51" s="16">
        <f>ROUND(((AJ51+AJ52+AJ53)/1000),1)</f>
        <v>41291.4</v>
      </c>
    </row>
    <row r="52" spans="1:37" ht="51.75" customHeight="1" x14ac:dyDescent="0.25">
      <c r="A52" s="130"/>
      <c r="B52" s="13" t="s">
        <v>72</v>
      </c>
      <c r="C52" s="15">
        <v>325</v>
      </c>
      <c r="D52" s="14">
        <v>25.31</v>
      </c>
      <c r="E52" s="14">
        <f t="shared" si="7"/>
        <v>7.7880000000000005E-2</v>
      </c>
      <c r="F52" s="53">
        <f t="shared" si="8"/>
        <v>435378.38399999996</v>
      </c>
      <c r="G52" s="49">
        <f t="shared" si="48"/>
        <v>33907.269999999997</v>
      </c>
      <c r="H52" s="50">
        <f t="shared" si="46"/>
        <v>11019862.749999998</v>
      </c>
      <c r="I52" s="51">
        <v>3.5</v>
      </c>
      <c r="J52" s="14">
        <f t="shared" si="11"/>
        <v>1.077E-2</v>
      </c>
      <c r="K52" s="51">
        <f t="shared" si="47"/>
        <v>334666.09999999998</v>
      </c>
      <c r="L52" s="51">
        <f t="shared" si="17"/>
        <v>3604.4</v>
      </c>
      <c r="M52" s="51">
        <f t="shared" si="13"/>
        <v>1171430</v>
      </c>
      <c r="N52" s="14"/>
      <c r="O52" s="61"/>
      <c r="P52" s="53"/>
      <c r="Q52" s="51"/>
      <c r="R52" s="51"/>
      <c r="S52" s="51">
        <f>S51</f>
        <v>4303.2835820895525</v>
      </c>
      <c r="T52" s="55">
        <f t="shared" si="14"/>
        <v>41814.953582089554</v>
      </c>
      <c r="U52" s="56">
        <f t="shared" si="1"/>
        <v>68250</v>
      </c>
      <c r="V52" s="63"/>
      <c r="W52" s="58">
        <f t="shared" ref="W52:W53" si="57">ROUND((($V$51/($U$51+$U$52+$U$53))*(35*6)),3)</f>
        <v>5586.2690000000002</v>
      </c>
      <c r="X52" s="14"/>
      <c r="Y52" s="58">
        <f t="shared" ref="Y52:Y53" si="58">ROUND((($X$51/($U$51+$U$52+$U$53))*(35*6)),3)</f>
        <v>229.239</v>
      </c>
      <c r="Z52" s="14"/>
      <c r="AA52" s="14"/>
      <c r="AB52" s="14"/>
      <c r="AC52" s="58">
        <f t="shared" ref="AC52:AC53" si="59">ROUND((($AB$51/($U$51+$U$52+$U$53))*(35*6)),3)</f>
        <v>15721.553</v>
      </c>
      <c r="AD52" s="14"/>
      <c r="AE52" s="58">
        <f t="shared" ref="AE52:AE53" si="60">ROUND((($AD$51/($U$51+$U$52+$U$53))*(35*6)),3)</f>
        <v>785.55200000000002</v>
      </c>
      <c r="AF52" s="59">
        <f t="shared" si="5"/>
        <v>22322.613000000001</v>
      </c>
      <c r="AG52" s="59">
        <f t="shared" si="6"/>
        <v>64137.566582089552</v>
      </c>
      <c r="AH52" s="14"/>
      <c r="AI52" s="14">
        <f>(AH51/(C51+C52+C53))*C52</f>
        <v>60247.49303358209</v>
      </c>
      <c r="AJ52" s="60">
        <f t="shared" si="0"/>
        <v>20904956.629999999</v>
      </c>
      <c r="AK52" s="16"/>
    </row>
    <row r="53" spans="1:37" ht="48" x14ac:dyDescent="0.25">
      <c r="A53" s="131"/>
      <c r="B53" s="13" t="s">
        <v>74</v>
      </c>
      <c r="C53" s="15">
        <v>39</v>
      </c>
      <c r="D53" s="14">
        <v>4.8899999999999997</v>
      </c>
      <c r="E53" s="14">
        <f t="shared" si="7"/>
        <v>0.12537999999999999</v>
      </c>
      <c r="F53" s="53">
        <f t="shared" si="8"/>
        <v>435378.38399999996</v>
      </c>
      <c r="G53" s="49">
        <f t="shared" si="48"/>
        <v>54587.74</v>
      </c>
      <c r="H53" s="50">
        <f t="shared" si="46"/>
        <v>2128921.86</v>
      </c>
      <c r="I53" s="51">
        <v>1</v>
      </c>
      <c r="J53" s="14">
        <f t="shared" si="11"/>
        <v>2.564E-2</v>
      </c>
      <c r="K53" s="51">
        <f t="shared" si="47"/>
        <v>334666.09999999998</v>
      </c>
      <c r="L53" s="51">
        <f t="shared" si="17"/>
        <v>8580.7999999999993</v>
      </c>
      <c r="M53" s="51">
        <f t="shared" si="13"/>
        <v>334651.19999999995</v>
      </c>
      <c r="N53" s="14"/>
      <c r="O53" s="61"/>
      <c r="P53" s="53"/>
      <c r="Q53" s="51"/>
      <c r="R53" s="51"/>
      <c r="S53" s="51">
        <f>S51</f>
        <v>4303.2835820895525</v>
      </c>
      <c r="T53" s="55">
        <f t="shared" si="14"/>
        <v>67471.82358208955</v>
      </c>
      <c r="U53" s="56">
        <f t="shared" si="1"/>
        <v>8190</v>
      </c>
      <c r="V53" s="63"/>
      <c r="W53" s="58">
        <f t="shared" si="57"/>
        <v>5586.2690000000002</v>
      </c>
      <c r="X53" s="14"/>
      <c r="Y53" s="58">
        <f t="shared" si="58"/>
        <v>229.239</v>
      </c>
      <c r="Z53" s="14"/>
      <c r="AA53" s="14"/>
      <c r="AB53" s="14"/>
      <c r="AC53" s="58">
        <f t="shared" si="59"/>
        <v>15721.553</v>
      </c>
      <c r="AD53" s="14"/>
      <c r="AE53" s="58">
        <f t="shared" si="60"/>
        <v>785.55200000000002</v>
      </c>
      <c r="AF53" s="59">
        <f t="shared" si="5"/>
        <v>22322.613000000001</v>
      </c>
      <c r="AG53" s="59">
        <f t="shared" si="6"/>
        <v>89794.436582089547</v>
      </c>
      <c r="AH53" s="14"/>
      <c r="AI53" s="14">
        <f>(AH51/(C51+C52+C53))*C53</f>
        <v>7229.6991640298511</v>
      </c>
      <c r="AJ53" s="60">
        <f t="shared" si="0"/>
        <v>3509212.73</v>
      </c>
      <c r="AK53" s="16"/>
    </row>
    <row r="54" spans="1:37" ht="60" x14ac:dyDescent="0.25">
      <c r="A54" s="129" t="s">
        <v>89</v>
      </c>
      <c r="B54" s="13" t="s">
        <v>26</v>
      </c>
      <c r="C54" s="15">
        <v>30</v>
      </c>
      <c r="D54" s="14"/>
      <c r="E54" s="14">
        <f t="shared" si="7"/>
        <v>0</v>
      </c>
      <c r="F54" s="53">
        <f t="shared" si="8"/>
        <v>435378.38399999996</v>
      </c>
      <c r="G54" s="49">
        <f>ROUND((E54*F54),2)</f>
        <v>0</v>
      </c>
      <c r="H54" s="50">
        <f>C54*G54</f>
        <v>0</v>
      </c>
      <c r="I54" s="51">
        <v>3.6</v>
      </c>
      <c r="J54" s="14">
        <f>ROUND((I54/C54),5)</f>
        <v>0.12</v>
      </c>
      <c r="K54" s="51">
        <f>ROUND((38000*1.302*12),1)</f>
        <v>593712</v>
      </c>
      <c r="L54" s="51">
        <f t="shared" si="17"/>
        <v>71245.399999999994</v>
      </c>
      <c r="M54" s="51">
        <f t="shared" si="13"/>
        <v>2137362</v>
      </c>
      <c r="N54" s="14">
        <f>'[1]ФОТ на 2023'!H23</f>
        <v>2.2999999999999998</v>
      </c>
      <c r="O54" s="14">
        <f>ROUND((N54/C54),5)</f>
        <v>7.6670000000000002E-2</v>
      </c>
      <c r="P54" s="53">
        <f>ROUND((17100*12*1.302),1)</f>
        <v>267170.40000000002</v>
      </c>
      <c r="Q54" s="49">
        <f>ROUND((O54*P54),2)</f>
        <v>20483.95</v>
      </c>
      <c r="R54" s="51">
        <f>C54*Q54</f>
        <v>614518.5</v>
      </c>
      <c r="S54" s="51">
        <f>'[1]ФОТ на 2023'!S22/([1]свод!C54+[1]свод!C55+[1]свод!C56+C57)*10%*1000</f>
        <v>13075.714285714288</v>
      </c>
      <c r="T54" s="55">
        <f t="shared" si="14"/>
        <v>104805.06428571428</v>
      </c>
      <c r="U54" s="56">
        <f t="shared" si="1"/>
        <v>6300</v>
      </c>
      <c r="V54" s="63">
        <v>2426200</v>
      </c>
      <c r="W54" s="58">
        <f>ROUND((($V$54/($U$54+$U$55+$U$56+$U$57))*(35*6)),3)</f>
        <v>23106.667000000001</v>
      </c>
      <c r="X54" s="14">
        <v>573300</v>
      </c>
      <c r="Y54" s="58">
        <f>ROUND((($X$54/($U$54+$U$55+$U$56+$U$57))*(35*6)),3)</f>
        <v>5460</v>
      </c>
      <c r="Z54" s="14"/>
      <c r="AA54" s="58">
        <f>ROUND(((Z54/(U54+U55+U56))*(35*6)),3)</f>
        <v>0</v>
      </c>
      <c r="AB54" s="14">
        <f>ROUND((('[1]ФОТ на 2023'!M22+'[1]ФОТ на 2023'!M23+'[1]ФОТ на 2023'!P22+'[1]ФОТ на 2023'!P23+'[1]ФОТ на 2023'!V22+'[1]ФОТ на 2023'!V23+'[1]ФОТ на 2023'!Y22+'[1]ФОТ на 2023'!Y23)*1.302*1000),1)</f>
        <v>8182939.7999999998</v>
      </c>
      <c r="AC54" s="58">
        <f>ROUND((($AB$54/($U$54+$U$55+$U$56+$U$57))*(35*6)),3)</f>
        <v>77932.759999999995</v>
      </c>
      <c r="AD54" s="14">
        <v>765200</v>
      </c>
      <c r="AE54" s="58">
        <f>ROUND((($AD$54/($U$54+$U$55+$U$56+$U$57))*(35*6)),3)</f>
        <v>7287.6189999999997</v>
      </c>
      <c r="AF54" s="59">
        <f t="shared" si="5"/>
        <v>113787.046</v>
      </c>
      <c r="AG54" s="59">
        <f t="shared" si="6"/>
        <v>218592.11028571427</v>
      </c>
      <c r="AH54" s="14">
        <v>486297.85954000003</v>
      </c>
      <c r="AI54" s="14">
        <f>(AH54/(C54+C55+C56+C57))*C54</f>
        <v>138942.24558285714</v>
      </c>
      <c r="AJ54" s="60">
        <f>ROUND(((AG54*C54)+AI54),2)</f>
        <v>6696705.5499999998</v>
      </c>
      <c r="AK54" s="16">
        <f>ROUND(((AJ54+AJ55+AJ56+AJ57)/1000),1)</f>
        <v>24464.9</v>
      </c>
    </row>
    <row r="55" spans="1:37" ht="48" x14ac:dyDescent="0.25">
      <c r="A55" s="130"/>
      <c r="B55" s="13" t="s">
        <v>71</v>
      </c>
      <c r="C55" s="15">
        <v>32</v>
      </c>
      <c r="D55" s="14">
        <v>5.5</v>
      </c>
      <c r="E55" s="14">
        <f t="shared" si="7"/>
        <v>0.17188000000000001</v>
      </c>
      <c r="F55" s="53">
        <f t="shared" si="8"/>
        <v>435378.38399999996</v>
      </c>
      <c r="G55" s="49">
        <f t="shared" ref="G55:G57" si="61">ROUND((E55*F55),2)</f>
        <v>74832.84</v>
      </c>
      <c r="H55" s="50">
        <f t="shared" ref="H55:H57" si="62">C55*G55</f>
        <v>2394650.88</v>
      </c>
      <c r="I55" s="51">
        <v>2</v>
      </c>
      <c r="J55" s="14">
        <f t="shared" si="11"/>
        <v>6.25E-2</v>
      </c>
      <c r="K55" s="51">
        <f t="shared" si="47"/>
        <v>334666.09999999998</v>
      </c>
      <c r="L55" s="51">
        <f t="shared" si="17"/>
        <v>20916.599999999999</v>
      </c>
      <c r="M55" s="51">
        <f t="shared" si="13"/>
        <v>669331.19999999995</v>
      </c>
      <c r="N55" s="14"/>
      <c r="O55" s="61"/>
      <c r="P55" s="53"/>
      <c r="Q55" s="51"/>
      <c r="R55" s="51"/>
      <c r="S55" s="51">
        <f>S54</f>
        <v>13075.714285714288</v>
      </c>
      <c r="T55" s="55">
        <f t="shared" si="14"/>
        <v>108825.15428571429</v>
      </c>
      <c r="U55" s="56">
        <f t="shared" si="1"/>
        <v>6720</v>
      </c>
      <c r="V55" s="63"/>
      <c r="W55" s="58">
        <f t="shared" ref="W55:W57" si="63">ROUND((($V$54/($U$54+$U$55+$U$56+$U$57))*(35*6)),3)</f>
        <v>23106.667000000001</v>
      </c>
      <c r="X55" s="14"/>
      <c r="Y55" s="58">
        <f t="shared" ref="Y55:Y57" si="64">ROUND((($X$54/($U$54+$U$55+$U$56+$U$57))*(35*6)),3)</f>
        <v>5460</v>
      </c>
      <c r="Z55" s="14"/>
      <c r="AA55" s="14"/>
      <c r="AB55" s="14"/>
      <c r="AC55" s="58">
        <f t="shared" ref="AC55:AC57" si="65">ROUND((($AB$54/($U$54+$U$55+$U$56+$U$57))*(35*6)),3)</f>
        <v>77932.759999999995</v>
      </c>
      <c r="AD55" s="14"/>
      <c r="AE55" s="58">
        <f t="shared" ref="AE55:AE57" si="66">ROUND((($AD$54/($U$54+$U$55+$U$56+$U$57))*(35*6)),3)</f>
        <v>7287.6189999999997</v>
      </c>
      <c r="AF55" s="59">
        <f t="shared" si="5"/>
        <v>113787.046</v>
      </c>
      <c r="AG55" s="59">
        <f t="shared" si="6"/>
        <v>222612.20028571429</v>
      </c>
      <c r="AH55" s="14"/>
      <c r="AI55" s="14">
        <f>(AH54/(C54+C55+C56+C57))*C55</f>
        <v>148205.06195504763</v>
      </c>
      <c r="AJ55" s="60">
        <f t="shared" si="0"/>
        <v>7271795.4699999997</v>
      </c>
      <c r="AK55" s="16"/>
    </row>
    <row r="56" spans="1:37" ht="48" x14ac:dyDescent="0.25">
      <c r="A56" s="130"/>
      <c r="B56" s="13" t="s">
        <v>72</v>
      </c>
      <c r="C56" s="15">
        <v>38</v>
      </c>
      <c r="D56" s="14">
        <v>7.7</v>
      </c>
      <c r="E56" s="14">
        <f t="shared" si="7"/>
        <v>0.20263</v>
      </c>
      <c r="F56" s="53">
        <f t="shared" si="8"/>
        <v>435378.38399999996</v>
      </c>
      <c r="G56" s="49">
        <f t="shared" si="61"/>
        <v>88220.72</v>
      </c>
      <c r="H56" s="50">
        <f t="shared" si="62"/>
        <v>3352387.36</v>
      </c>
      <c r="I56" s="51">
        <v>2.5</v>
      </c>
      <c r="J56" s="14">
        <f t="shared" si="11"/>
        <v>6.5790000000000001E-2</v>
      </c>
      <c r="K56" s="51">
        <f t="shared" si="47"/>
        <v>334666.09999999998</v>
      </c>
      <c r="L56" s="51">
        <f t="shared" si="17"/>
        <v>22017.7</v>
      </c>
      <c r="M56" s="51">
        <f t="shared" si="13"/>
        <v>836672.6</v>
      </c>
      <c r="N56" s="14"/>
      <c r="O56" s="61"/>
      <c r="P56" s="53"/>
      <c r="Q56" s="51"/>
      <c r="R56" s="51"/>
      <c r="S56" s="51">
        <f>S54</f>
        <v>13075.714285714288</v>
      </c>
      <c r="T56" s="55">
        <f t="shared" si="14"/>
        <v>123314.13428571429</v>
      </c>
      <c r="U56" s="56">
        <f t="shared" si="1"/>
        <v>7980</v>
      </c>
      <c r="V56" s="63"/>
      <c r="W56" s="58">
        <f t="shared" si="63"/>
        <v>23106.667000000001</v>
      </c>
      <c r="X56" s="14"/>
      <c r="Y56" s="58">
        <f t="shared" si="64"/>
        <v>5460</v>
      </c>
      <c r="Z56" s="14"/>
      <c r="AA56" s="14"/>
      <c r="AB56" s="14"/>
      <c r="AC56" s="58">
        <f t="shared" si="65"/>
        <v>77932.759999999995</v>
      </c>
      <c r="AD56" s="14"/>
      <c r="AE56" s="58">
        <f t="shared" si="66"/>
        <v>7287.6189999999997</v>
      </c>
      <c r="AF56" s="59">
        <f t="shared" si="5"/>
        <v>113787.046</v>
      </c>
      <c r="AG56" s="59">
        <f t="shared" si="6"/>
        <v>237101.18028571428</v>
      </c>
      <c r="AH56" s="14"/>
      <c r="AI56" s="14">
        <f>(AH54/(C54+C55+C56+C57))*C56</f>
        <v>175993.51107161905</v>
      </c>
      <c r="AJ56" s="60">
        <f t="shared" si="0"/>
        <v>9185838.3599999994</v>
      </c>
      <c r="AK56" s="16"/>
    </row>
    <row r="57" spans="1:37" ht="60" x14ac:dyDescent="0.25">
      <c r="A57" s="131"/>
      <c r="B57" s="13" t="s">
        <v>80</v>
      </c>
      <c r="C57" s="15">
        <v>5</v>
      </c>
      <c r="D57" s="14">
        <v>1.5</v>
      </c>
      <c r="E57" s="14">
        <f>ROUND((D57/C57),5)</f>
        <v>0.3</v>
      </c>
      <c r="F57" s="53">
        <f t="shared" si="8"/>
        <v>435378.38399999996</v>
      </c>
      <c r="G57" s="49">
        <f t="shared" si="61"/>
        <v>130613.52</v>
      </c>
      <c r="H57" s="50">
        <f t="shared" si="62"/>
        <v>653067.6</v>
      </c>
      <c r="I57" s="51"/>
      <c r="J57" s="14"/>
      <c r="K57" s="51">
        <f t="shared" si="47"/>
        <v>334666.09999999998</v>
      </c>
      <c r="L57" s="51">
        <f t="shared" si="17"/>
        <v>0</v>
      </c>
      <c r="M57" s="51">
        <f t="shared" si="13"/>
        <v>0</v>
      </c>
      <c r="N57" s="14"/>
      <c r="O57" s="61"/>
      <c r="P57" s="53"/>
      <c r="Q57" s="51"/>
      <c r="R57" s="51"/>
      <c r="S57" s="51">
        <f>S54</f>
        <v>13075.714285714288</v>
      </c>
      <c r="T57" s="55">
        <f t="shared" si="14"/>
        <v>143689.23428571428</v>
      </c>
      <c r="U57" s="56">
        <f t="shared" si="1"/>
        <v>1050</v>
      </c>
      <c r="V57" s="63"/>
      <c r="W57" s="58">
        <f t="shared" si="63"/>
        <v>23106.667000000001</v>
      </c>
      <c r="X57" s="14"/>
      <c r="Y57" s="58">
        <f t="shared" si="64"/>
        <v>5460</v>
      </c>
      <c r="Z57" s="14"/>
      <c r="AA57" s="62"/>
      <c r="AB57" s="14"/>
      <c r="AC57" s="58">
        <f t="shared" si="65"/>
        <v>77932.759999999995</v>
      </c>
      <c r="AD57" s="14"/>
      <c r="AE57" s="58">
        <f t="shared" si="66"/>
        <v>7287.6189999999997</v>
      </c>
      <c r="AF57" s="59">
        <f t="shared" si="5"/>
        <v>113787.046</v>
      </c>
      <c r="AG57" s="59">
        <f t="shared" si="6"/>
        <v>257476.28028571428</v>
      </c>
      <c r="AH57" s="14"/>
      <c r="AI57" s="14">
        <f>(AH54/(C54+C55+C56+C57))*C57</f>
        <v>23157.040930476192</v>
      </c>
      <c r="AJ57" s="60">
        <f t="shared" si="0"/>
        <v>1310538.44</v>
      </c>
      <c r="AK57" s="16"/>
    </row>
    <row r="58" spans="1:37" ht="60" x14ac:dyDescent="0.25">
      <c r="A58" s="129" t="s">
        <v>90</v>
      </c>
      <c r="B58" s="13" t="s">
        <v>26</v>
      </c>
      <c r="C58" s="14">
        <v>84</v>
      </c>
      <c r="D58" s="14"/>
      <c r="E58" s="14">
        <f t="shared" si="7"/>
        <v>0</v>
      </c>
      <c r="F58" s="53">
        <f t="shared" si="8"/>
        <v>435378.38399999996</v>
      </c>
      <c r="G58" s="49">
        <f>ROUND((E58*F58),2)</f>
        <v>0</v>
      </c>
      <c r="H58" s="50">
        <f>C58*G58</f>
        <v>0</v>
      </c>
      <c r="I58" s="51">
        <v>10.7</v>
      </c>
      <c r="J58" s="14">
        <f t="shared" si="11"/>
        <v>0.12737999999999999</v>
      </c>
      <c r="K58" s="51">
        <f>ROUND((38000*1.302*12),1)</f>
        <v>593712</v>
      </c>
      <c r="L58" s="51">
        <f t="shared" si="17"/>
        <v>75627</v>
      </c>
      <c r="M58" s="51">
        <f t="shared" si="13"/>
        <v>6352668</v>
      </c>
      <c r="N58" s="14">
        <v>5.85</v>
      </c>
      <c r="O58" s="14">
        <f>ROUND((N58/C58),5)</f>
        <v>6.9639999999999994E-2</v>
      </c>
      <c r="P58" s="53">
        <f>ROUND((17100*12*1.302),1)</f>
        <v>267170.40000000002</v>
      </c>
      <c r="Q58" s="49">
        <f>ROUND((O58*P58),2)</f>
        <v>18605.75</v>
      </c>
      <c r="R58" s="51">
        <f>C58*Q58</f>
        <v>1562883</v>
      </c>
      <c r="S58" s="51">
        <f>'[1]ФОТ на 2023'!S24/([1]свод!C58+[1]свод!C59+[1]свод!C60+C61)*10%*1000</f>
        <v>9598.3898305084749</v>
      </c>
      <c r="T58" s="55">
        <f t="shared" si="14"/>
        <v>103831.13983050847</v>
      </c>
      <c r="U58" s="56">
        <f t="shared" si="1"/>
        <v>17640</v>
      </c>
      <c r="V58" s="57">
        <v>2864000.0000000005</v>
      </c>
      <c r="W58" s="58">
        <f>ROUND((($V$58/($U$58+$U$59+$U$60+$U$61))*(35*6)),3)</f>
        <v>12135.593000000001</v>
      </c>
      <c r="X58" s="14">
        <v>422890</v>
      </c>
      <c r="Y58" s="58">
        <f>ROUND((($X$58/($U$58+$U$59+$U$60+$U$61))*(35*6)),3)</f>
        <v>1791.9069999999999</v>
      </c>
      <c r="Z58" s="14"/>
      <c r="AA58" s="58">
        <f>ROUND(((Z58/(U58+U59+U60+U61))*(35*6)),3)</f>
        <v>0</v>
      </c>
      <c r="AB58" s="14">
        <f>ROUND((('[1]ФОТ на 2023'!M24+'[1]ФОТ на 2023'!M25+'[1]ФОТ на 2023'!P24+'[1]ФОТ на 2023'!P25+'[1]ФОТ на 2023'!V24+'[1]ФОТ на 2023'!V25+'[1]ФОТ на 2023'!Y24+'[1]ФОТ на 2023'!Y25)*1.302*1000),1)</f>
        <v>10624710.6</v>
      </c>
      <c r="AC58" s="58">
        <f>ROUND((($AB$58/($U$58+$U$59+$U$60+$U$61))*(35*6)),3)</f>
        <v>45019.96</v>
      </c>
      <c r="AD58" s="14">
        <v>783644</v>
      </c>
      <c r="AE58" s="58">
        <f>ROUND((($AD$58/($U$58+$U$59+$U$60+$U$61))*(35*6)),3)</f>
        <v>3320.5250000000001</v>
      </c>
      <c r="AF58" s="59">
        <f t="shared" si="5"/>
        <v>62267.985000000001</v>
      </c>
      <c r="AG58" s="59">
        <f t="shared" si="6"/>
        <v>166099.12483050849</v>
      </c>
      <c r="AH58" s="14">
        <v>294767.99655000004</v>
      </c>
      <c r="AI58" s="14">
        <f>(AH58/(C58+C59+C60+C61))*C58</f>
        <v>104917.42250084746</v>
      </c>
      <c r="AJ58" s="60">
        <f>ROUND(((AG58*C58)+AI58),2)</f>
        <v>14057243.91</v>
      </c>
      <c r="AK58" s="16">
        <f>ROUND(((AJ58+AJ59+AJ60+AJ61)/1000),1)</f>
        <v>35550.199999999997</v>
      </c>
    </row>
    <row r="59" spans="1:37" ht="72" x14ac:dyDescent="0.25">
      <c r="A59" s="130"/>
      <c r="B59" s="13" t="s">
        <v>85</v>
      </c>
      <c r="C59" s="14">
        <v>13</v>
      </c>
      <c r="D59" s="14"/>
      <c r="E59" s="14">
        <f t="shared" si="7"/>
        <v>0</v>
      </c>
      <c r="F59" s="53">
        <f t="shared" si="8"/>
        <v>435378.38399999996</v>
      </c>
      <c r="G59" s="49">
        <f>ROUND((E59*F59),2)</f>
        <v>0</v>
      </c>
      <c r="H59" s="50">
        <f>C59*G59</f>
        <v>0</v>
      </c>
      <c r="I59" s="51">
        <v>3.5</v>
      </c>
      <c r="J59" s="14">
        <f t="shared" si="11"/>
        <v>0.26923000000000002</v>
      </c>
      <c r="K59" s="51">
        <f>ROUND((38000*1.302*12),1)</f>
        <v>593712</v>
      </c>
      <c r="L59" s="51">
        <f t="shared" si="17"/>
        <v>159845.1</v>
      </c>
      <c r="M59" s="51">
        <f t="shared" si="13"/>
        <v>2077986.3</v>
      </c>
      <c r="N59" s="14">
        <v>1.1499999999999999</v>
      </c>
      <c r="O59" s="14">
        <f>ROUND((N59/C59),5)</f>
        <v>8.8459999999999997E-2</v>
      </c>
      <c r="P59" s="53">
        <f>ROUND((17100*12*1.302),1)</f>
        <v>267170.40000000002</v>
      </c>
      <c r="Q59" s="49">
        <f>ROUND((O59*P59),2)</f>
        <v>23633.89</v>
      </c>
      <c r="R59" s="51">
        <f>C59*Q59</f>
        <v>307240.57</v>
      </c>
      <c r="S59" s="51">
        <f>S58</f>
        <v>9598.3898305084749</v>
      </c>
      <c r="T59" s="55">
        <f t="shared" si="14"/>
        <v>193077.37983050846</v>
      </c>
      <c r="U59" s="56">
        <f t="shared" si="1"/>
        <v>2730</v>
      </c>
      <c r="V59" s="57"/>
      <c r="W59" s="58">
        <f t="shared" ref="W59:W61" si="67">ROUND((($V$58/($U$58+$U$59+$U$60+$U$61))*(35*6)),3)</f>
        <v>12135.593000000001</v>
      </c>
      <c r="X59" s="14"/>
      <c r="Y59" s="58">
        <f t="shared" ref="Y59:Y61" si="68">ROUND((($X$58/($U$58+$U$59+$U$60+$U$61))*(35*6)),3)</f>
        <v>1791.9069999999999</v>
      </c>
      <c r="Z59" s="14"/>
      <c r="AA59" s="14"/>
      <c r="AB59" s="14"/>
      <c r="AC59" s="58">
        <f t="shared" ref="AC59:AC61" si="69">ROUND((($AB$58/($U$58+$U$59+$U$60+$U$61))*(35*6)),3)</f>
        <v>45019.96</v>
      </c>
      <c r="AD59" s="14"/>
      <c r="AE59" s="58">
        <f t="shared" ref="AE59:AE61" si="70">ROUND((($AD$58/($U$58+$U$59+$U$60+$U$61))*(35*6)),3)</f>
        <v>3320.5250000000001</v>
      </c>
      <c r="AF59" s="59">
        <f t="shared" si="5"/>
        <v>62267.985000000001</v>
      </c>
      <c r="AG59" s="59">
        <f t="shared" si="6"/>
        <v>255345.36483050848</v>
      </c>
      <c r="AH59" s="14"/>
      <c r="AI59" s="14">
        <f>(AH58/(C58+C59+C60+C61))*C59</f>
        <v>16237.22014894068</v>
      </c>
      <c r="AJ59" s="60">
        <f t="shared" si="0"/>
        <v>3335726.96</v>
      </c>
      <c r="AK59" s="16"/>
    </row>
    <row r="60" spans="1:37" ht="61.5" customHeight="1" x14ac:dyDescent="0.25">
      <c r="A60" s="130"/>
      <c r="B60" s="13" t="s">
        <v>71</v>
      </c>
      <c r="C60" s="14">
        <v>63</v>
      </c>
      <c r="D60" s="64">
        <v>5.84</v>
      </c>
      <c r="E60" s="14">
        <f t="shared" si="7"/>
        <v>9.2700000000000005E-2</v>
      </c>
      <c r="F60" s="53">
        <f t="shared" si="8"/>
        <v>435378.38399999996</v>
      </c>
      <c r="G60" s="49">
        <f t="shared" ref="G60:G65" si="71">ROUND((E60*F60),2)</f>
        <v>40359.58</v>
      </c>
      <c r="H60" s="50">
        <f t="shared" ref="H60:H70" si="72">C60*G60</f>
        <v>2542653.54</v>
      </c>
      <c r="I60" s="51">
        <v>1</v>
      </c>
      <c r="J60" s="14">
        <f t="shared" si="11"/>
        <v>1.5869999999999999E-2</v>
      </c>
      <c r="K60" s="51">
        <f t="shared" ref="K60:K63" si="73">ROUND((21420*1.302*12),1)</f>
        <v>334666.09999999998</v>
      </c>
      <c r="L60" s="51">
        <f t="shared" si="17"/>
        <v>5311.2</v>
      </c>
      <c r="M60" s="51">
        <f t="shared" si="13"/>
        <v>334605.59999999998</v>
      </c>
      <c r="N60" s="14"/>
      <c r="O60" s="61"/>
      <c r="P60" s="53"/>
      <c r="Q60" s="51"/>
      <c r="R60" s="51"/>
      <c r="S60" s="51">
        <f>S58</f>
        <v>9598.3898305084749</v>
      </c>
      <c r="T60" s="55">
        <f t="shared" si="14"/>
        <v>55269.169830508472</v>
      </c>
      <c r="U60" s="56">
        <f t="shared" si="1"/>
        <v>13230</v>
      </c>
      <c r="V60" s="57"/>
      <c r="W60" s="58">
        <f t="shared" si="67"/>
        <v>12135.593000000001</v>
      </c>
      <c r="X60" s="14"/>
      <c r="Y60" s="58">
        <f t="shared" si="68"/>
        <v>1791.9069999999999</v>
      </c>
      <c r="Z60" s="14"/>
      <c r="AA60" s="14"/>
      <c r="AB60" s="14"/>
      <c r="AC60" s="58">
        <f t="shared" si="69"/>
        <v>45019.96</v>
      </c>
      <c r="AD60" s="14"/>
      <c r="AE60" s="58">
        <f>ROUND((($AD$58/($U$58+$U$59+$U$60+$U$61))*(35*6)),3)</f>
        <v>3320.5250000000001</v>
      </c>
      <c r="AF60" s="59">
        <f t="shared" si="5"/>
        <v>62267.985000000001</v>
      </c>
      <c r="AG60" s="59">
        <f t="shared" si="6"/>
        <v>117537.15483050847</v>
      </c>
      <c r="AH60" s="14"/>
      <c r="AI60" s="14">
        <f>(AH58/(C58+C59+C60+C61))*C60</f>
        <v>78688.066875635603</v>
      </c>
      <c r="AJ60" s="60">
        <f t="shared" si="0"/>
        <v>7483528.8200000003</v>
      </c>
      <c r="AK60" s="16"/>
    </row>
    <row r="61" spans="1:37" ht="53.25" customHeight="1" x14ac:dyDescent="0.25">
      <c r="A61" s="131"/>
      <c r="B61" s="13" t="s">
        <v>72</v>
      </c>
      <c r="C61" s="14">
        <v>76</v>
      </c>
      <c r="D61" s="14">
        <v>10.6</v>
      </c>
      <c r="E61" s="14">
        <f t="shared" si="7"/>
        <v>0.13947000000000001</v>
      </c>
      <c r="F61" s="53">
        <f t="shared" si="8"/>
        <v>435378.38399999996</v>
      </c>
      <c r="G61" s="49">
        <f t="shared" si="71"/>
        <v>60722.22</v>
      </c>
      <c r="H61" s="50">
        <f t="shared" si="72"/>
        <v>4614888.72</v>
      </c>
      <c r="I61" s="51">
        <v>1.5</v>
      </c>
      <c r="J61" s="14">
        <f t="shared" si="11"/>
        <v>1.9740000000000001E-2</v>
      </c>
      <c r="K61" s="51">
        <f t="shared" si="73"/>
        <v>334666.09999999998</v>
      </c>
      <c r="L61" s="51">
        <f t="shared" si="17"/>
        <v>6606.3</v>
      </c>
      <c r="M61" s="51">
        <f t="shared" si="13"/>
        <v>502078.8</v>
      </c>
      <c r="N61" s="14"/>
      <c r="O61" s="14"/>
      <c r="P61" s="14"/>
      <c r="Q61" s="14"/>
      <c r="R61" s="14"/>
      <c r="S61" s="51">
        <f>S59</f>
        <v>9598.3898305084749</v>
      </c>
      <c r="T61" s="55">
        <f t="shared" si="14"/>
        <v>76926.909830508477</v>
      </c>
      <c r="U61" s="56">
        <f t="shared" si="1"/>
        <v>15960</v>
      </c>
      <c r="V61" s="64"/>
      <c r="W61" s="58">
        <f t="shared" si="67"/>
        <v>12135.593000000001</v>
      </c>
      <c r="X61" s="14"/>
      <c r="Y61" s="58">
        <f t="shared" si="68"/>
        <v>1791.9069999999999</v>
      </c>
      <c r="Z61" s="14"/>
      <c r="AA61" s="14"/>
      <c r="AB61" s="14"/>
      <c r="AC61" s="58">
        <f t="shared" si="69"/>
        <v>45019.96</v>
      </c>
      <c r="AD61" s="14"/>
      <c r="AE61" s="58">
        <f t="shared" si="70"/>
        <v>3320.5250000000001</v>
      </c>
      <c r="AF61" s="59">
        <f t="shared" si="5"/>
        <v>62267.985000000001</v>
      </c>
      <c r="AG61" s="59">
        <f t="shared" si="6"/>
        <v>139194.89483050848</v>
      </c>
      <c r="AH61" s="14"/>
      <c r="AI61" s="14">
        <f>(AH58/(C58+C59+C60+C61))*C61</f>
        <v>94925.287024576275</v>
      </c>
      <c r="AJ61" s="60">
        <f t="shared" si="0"/>
        <v>10673737.289999999</v>
      </c>
      <c r="AK61" s="16"/>
    </row>
    <row r="62" spans="1:37" ht="48" x14ac:dyDescent="0.25">
      <c r="A62" s="129" t="s">
        <v>91</v>
      </c>
      <c r="B62" s="13" t="s">
        <v>71</v>
      </c>
      <c r="C62" s="14">
        <v>47</v>
      </c>
      <c r="D62" s="14">
        <v>5.37</v>
      </c>
      <c r="E62" s="14">
        <f t="shared" si="7"/>
        <v>0.11426</v>
      </c>
      <c r="F62" s="53">
        <f t="shared" si="8"/>
        <v>435378.38399999996</v>
      </c>
      <c r="G62" s="49">
        <f t="shared" si="71"/>
        <v>49746.33</v>
      </c>
      <c r="H62" s="50">
        <f t="shared" si="72"/>
        <v>2338077.5100000002</v>
      </c>
      <c r="I62" s="51">
        <v>0.5</v>
      </c>
      <c r="J62" s="14">
        <f t="shared" si="11"/>
        <v>1.064E-2</v>
      </c>
      <c r="K62" s="51">
        <f t="shared" si="73"/>
        <v>334666.09999999998</v>
      </c>
      <c r="L62" s="51">
        <f t="shared" si="17"/>
        <v>3560.8</v>
      </c>
      <c r="M62" s="51">
        <f t="shared" si="13"/>
        <v>167357.6</v>
      </c>
      <c r="N62" s="14"/>
      <c r="O62" s="14"/>
      <c r="P62" s="14"/>
      <c r="Q62" s="14"/>
      <c r="R62" s="14"/>
      <c r="S62" s="51">
        <f>'[1]ФОТ на 2023'!S26/([1]свод!C62+[1]свод!C63)*10%*1000</f>
        <v>8478.75</v>
      </c>
      <c r="T62" s="55">
        <f t="shared" si="14"/>
        <v>61785.880000000005</v>
      </c>
      <c r="U62" s="56">
        <f t="shared" si="1"/>
        <v>9870</v>
      </c>
      <c r="V62" s="64">
        <v>1896300.0000000005</v>
      </c>
      <c r="W62" s="58">
        <f>ROUND((($V$62/($U$62+$U$63))*(35*6)),3)</f>
        <v>15802.5</v>
      </c>
      <c r="X62" s="14">
        <v>267000</v>
      </c>
      <c r="Y62" s="58">
        <f>ROUND((($X$62/($U$62+$U$63))*(35*6)),3)</f>
        <v>2225</v>
      </c>
      <c r="Z62" s="14"/>
      <c r="AA62" s="58">
        <f>ROUND(((Z62/(U62+U63))*(35*6)),3)</f>
        <v>0</v>
      </c>
      <c r="AB62" s="14">
        <f>ROUND((('[1]ФОТ на 2023'!M26+'[1]ФОТ на 2023'!P26+'[1]ФОТ на 2023'!V26+'[1]ФОТ на 2023'!Y26)*1.302*1000),1)</f>
        <v>6267046.7999999998</v>
      </c>
      <c r="AC62" s="58">
        <f>ROUND((($AB$62/($U$62+$U$63))*(35*6)),3)</f>
        <v>52225.39</v>
      </c>
      <c r="AD62" s="14">
        <v>325884</v>
      </c>
      <c r="AE62" s="58">
        <f>ROUND((($AD$62/($U$62+$U$63))*(35*6)),3)</f>
        <v>2715.7</v>
      </c>
      <c r="AF62" s="59">
        <f t="shared" si="5"/>
        <v>72968.59</v>
      </c>
      <c r="AG62" s="59">
        <f t="shared" si="6"/>
        <v>134754.47</v>
      </c>
      <c r="AH62" s="14">
        <v>74122.796000000002</v>
      </c>
      <c r="AI62" s="14">
        <f>(AH62/(C62+C63))*C62</f>
        <v>29031.428433333334</v>
      </c>
      <c r="AJ62" s="60">
        <f t="shared" si="0"/>
        <v>6362491.5199999996</v>
      </c>
      <c r="AK62" s="16">
        <f>ROUND(((AJ62+AJ63)/1000),1)</f>
        <v>17183.400000000001</v>
      </c>
    </row>
    <row r="63" spans="1:37" ht="48" x14ac:dyDescent="0.25">
      <c r="A63" s="131"/>
      <c r="B63" s="13" t="s">
        <v>72</v>
      </c>
      <c r="C63" s="14">
        <v>73</v>
      </c>
      <c r="D63" s="14">
        <v>10.71</v>
      </c>
      <c r="E63" s="14">
        <f t="shared" si="7"/>
        <v>0.14671000000000001</v>
      </c>
      <c r="F63" s="53">
        <f t="shared" si="8"/>
        <v>435378.38399999996</v>
      </c>
      <c r="G63" s="49">
        <f t="shared" si="71"/>
        <v>63874.36</v>
      </c>
      <c r="H63" s="50">
        <f t="shared" si="72"/>
        <v>4662828.28</v>
      </c>
      <c r="I63" s="51">
        <v>0.5</v>
      </c>
      <c r="J63" s="14">
        <f t="shared" si="11"/>
        <v>6.8500000000000002E-3</v>
      </c>
      <c r="K63" s="51">
        <f t="shared" si="73"/>
        <v>334666.09999999998</v>
      </c>
      <c r="L63" s="51">
        <f t="shared" si="17"/>
        <v>2292.5</v>
      </c>
      <c r="M63" s="51">
        <f t="shared" si="13"/>
        <v>167352.5</v>
      </c>
      <c r="N63" s="14"/>
      <c r="O63" s="14"/>
      <c r="P63" s="14"/>
      <c r="Q63" s="14"/>
      <c r="R63" s="14"/>
      <c r="S63" s="51">
        <f>S62</f>
        <v>8478.75</v>
      </c>
      <c r="T63" s="55">
        <f t="shared" si="14"/>
        <v>74645.61</v>
      </c>
      <c r="U63" s="56">
        <f t="shared" si="1"/>
        <v>15330</v>
      </c>
      <c r="V63" s="64"/>
      <c r="W63" s="58">
        <f>ROUND((($V$62/($U$62+$U$63))*(35*6)),3)</f>
        <v>15802.5</v>
      </c>
      <c r="X63" s="14"/>
      <c r="Y63" s="58">
        <f>ROUND((($X$62/($U$62+$U$63))*(35*6)),3)</f>
        <v>2225</v>
      </c>
      <c r="Z63" s="14"/>
      <c r="AA63" s="14"/>
      <c r="AB63" s="14"/>
      <c r="AC63" s="58">
        <f>ROUND((($AB$62/($U$62+$U$63))*(35*6)),3)</f>
        <v>52225.39</v>
      </c>
      <c r="AD63" s="14"/>
      <c r="AE63" s="58">
        <f>ROUND((($AD$62/($U$62+$U$63))*(35*6)),3)</f>
        <v>2715.7</v>
      </c>
      <c r="AF63" s="59">
        <f t="shared" si="5"/>
        <v>72968.59</v>
      </c>
      <c r="AG63" s="59">
        <f t="shared" si="6"/>
        <v>147614.20000000001</v>
      </c>
      <c r="AH63" s="14"/>
      <c r="AI63" s="14">
        <f>(AH62/(C62+C63))*C63</f>
        <v>45091.367566666668</v>
      </c>
      <c r="AJ63" s="60">
        <f t="shared" si="0"/>
        <v>10820927.970000001</v>
      </c>
      <c r="AK63" s="16"/>
    </row>
    <row r="64" spans="1:37" ht="60" x14ac:dyDescent="0.25">
      <c r="A64" s="14" t="s">
        <v>40</v>
      </c>
      <c r="B64" s="13" t="s">
        <v>26</v>
      </c>
      <c r="C64" s="14">
        <f>C5+C34+C41+C54+C58</f>
        <v>421</v>
      </c>
      <c r="D64" s="14"/>
      <c r="E64" s="14">
        <f t="shared" si="7"/>
        <v>0</v>
      </c>
      <c r="F64" s="53">
        <f t="shared" si="8"/>
        <v>435378.38399999996</v>
      </c>
      <c r="G64" s="49">
        <f t="shared" si="71"/>
        <v>0</v>
      </c>
      <c r="H64" s="50">
        <f>C64*G64</f>
        <v>0</v>
      </c>
      <c r="I64" s="51">
        <f>I5+I34+I41+I54+I58</f>
        <v>46.05</v>
      </c>
      <c r="J64" s="14">
        <f>ROUND((I64/C64),5)</f>
        <v>0.10938000000000001</v>
      </c>
      <c r="K64" s="51">
        <f>ROUND((38000*1.302*12),1)</f>
        <v>593712</v>
      </c>
      <c r="L64" s="51">
        <f>ROUND((J64*K64),1)</f>
        <v>64940.2</v>
      </c>
      <c r="M64" s="51">
        <f>C64*L64</f>
        <v>27339824.199999999</v>
      </c>
      <c r="N64" s="1">
        <f>N5+N34+N41+N54+N58</f>
        <v>24.75</v>
      </c>
      <c r="O64" s="14">
        <f>ROUND((N64/C64),5)</f>
        <v>5.8790000000000002E-2</v>
      </c>
      <c r="P64" s="53">
        <f>ROUND((17100*12*1.302),1)</f>
        <v>267170.40000000002</v>
      </c>
      <c r="Q64" s="49">
        <f>ROUND((O64*P64),2)</f>
        <v>15706.95</v>
      </c>
      <c r="R64" s="51">
        <f>C64*Q64</f>
        <v>6612625.9500000002</v>
      </c>
      <c r="S64" s="51">
        <f>ROUND((((C5*S5)+(C34*S34)+(C41*S41)+(C54*S54)+(C58*S58))/C64),1)</f>
        <v>6928</v>
      </c>
      <c r="T64" s="55">
        <f>G64+L64+Q64+S64</f>
        <v>87575.15</v>
      </c>
      <c r="U64" s="56">
        <f>210*C64</f>
        <v>88410</v>
      </c>
      <c r="V64" s="53">
        <f>SUM(V5:V63)</f>
        <v>52418500</v>
      </c>
      <c r="W64" s="58">
        <f>ROUND((($V$64/($U$64+$U$65+$U$66+$U$67+$U$68+$U$69+$U$70+$U$71+$U$72))*(35*6)),3)</f>
        <v>5894.3549999999996</v>
      </c>
      <c r="X64" s="53">
        <f>SUM(X5:X63)</f>
        <v>6646728.04</v>
      </c>
      <c r="Y64" s="58">
        <f>ROUND((($X$64/($U$64+$U$65+$U$66+$U$67+$U$68+$U$69+$U$70+$U$71+$U$72))*(35*6)),3)</f>
        <v>747.41099999999994</v>
      </c>
      <c r="Z64" s="53">
        <f>SUM(Z5:Z63)</f>
        <v>0</v>
      </c>
      <c r="AA64" s="58">
        <f>ROUND(((Z64/(U64+U65+U66+U67+U68+U69+U70+U71+U72))*(35*6)),3)</f>
        <v>0</v>
      </c>
      <c r="AB64" s="53">
        <f>SUM(AB5:AB63)</f>
        <v>176959377.00000003</v>
      </c>
      <c r="AC64" s="58">
        <f>ROUND((($AB$64/($U$64+$U$65+$U$66+$U$67+$U$68+$U$69+$U$70+$U$71+$U$72))*(35*6)),3)</f>
        <v>19898.726999999999</v>
      </c>
      <c r="AD64" s="53">
        <f>SUM(AD5:AD63)</f>
        <v>8901800</v>
      </c>
      <c r="AE64" s="58">
        <f>ROUND((($AD$64/($U$64+$U$65+$U$66+$U$67+$U$68+$U$69+$U$70+$U$71+$U$72))*(35*6)),3)</f>
        <v>1000.99</v>
      </c>
      <c r="AF64" s="59">
        <f>W64+Y64+AA64+AC64+AE64</f>
        <v>27541.483</v>
      </c>
      <c r="AG64" s="59">
        <f>T64+AF64</f>
        <v>115116.633</v>
      </c>
      <c r="AH64" s="53">
        <f>SUM(AH5:AH63)</f>
        <v>5747115.6244299999</v>
      </c>
      <c r="AI64" s="14">
        <f>(AH64/(C64+C65+C66+C67+C68+C69+C70+C71+C72))*C64</f>
        <v>272071.93049421231</v>
      </c>
      <c r="AJ64" s="60">
        <f>AJ5+AJ34+AJ41+AJ54+AJ58</f>
        <v>56628909.780000001</v>
      </c>
      <c r="AK64" s="16">
        <f>SUM(AK5:AK63)</f>
        <v>654094.19999999995</v>
      </c>
    </row>
    <row r="65" spans="1:37" ht="72" x14ac:dyDescent="0.25">
      <c r="A65" s="14" t="s">
        <v>40</v>
      </c>
      <c r="B65" s="13" t="s">
        <v>85</v>
      </c>
      <c r="C65" s="14">
        <f>C35+C59</f>
        <v>50</v>
      </c>
      <c r="D65" s="14">
        <f>D59</f>
        <v>0</v>
      </c>
      <c r="E65" s="14">
        <f t="shared" si="7"/>
        <v>0</v>
      </c>
      <c r="F65" s="53">
        <f t="shared" si="8"/>
        <v>435378.38399999996</v>
      </c>
      <c r="G65" s="49">
        <f t="shared" si="71"/>
        <v>0</v>
      </c>
      <c r="H65" s="50">
        <f t="shared" si="72"/>
        <v>0</v>
      </c>
      <c r="I65" s="51">
        <f>I35+I59</f>
        <v>10</v>
      </c>
      <c r="J65" s="14">
        <f t="shared" si="11"/>
        <v>0.2</v>
      </c>
      <c r="K65" s="51">
        <f>ROUND((38000*1.302*12),1)</f>
        <v>593712</v>
      </c>
      <c r="L65" s="51">
        <f t="shared" si="17"/>
        <v>118742.39999999999</v>
      </c>
      <c r="M65" s="51">
        <f t="shared" si="13"/>
        <v>5937120</v>
      </c>
      <c r="N65" s="14">
        <f>N35+N59</f>
        <v>2.15</v>
      </c>
      <c r="O65" s="14">
        <f>ROUND((N65/C65),5)</f>
        <v>4.2999999999999997E-2</v>
      </c>
      <c r="P65" s="53">
        <f>ROUND((17100*12*1.302),1)</f>
        <v>267170.40000000002</v>
      </c>
      <c r="Q65" s="49">
        <f>ROUND((O65*P65),2)</f>
        <v>11488.33</v>
      </c>
      <c r="R65" s="51">
        <f>C65*Q65</f>
        <v>574416.5</v>
      </c>
      <c r="S65" s="51">
        <f>ROUND((((C35*S35)+(C59*S59))/C65),1)</f>
        <v>5965</v>
      </c>
      <c r="T65" s="55">
        <f t="shared" si="14"/>
        <v>136195.72999999998</v>
      </c>
      <c r="U65" s="56">
        <f t="shared" si="1"/>
        <v>10500</v>
      </c>
      <c r="V65" s="14"/>
      <c r="W65" s="58">
        <f t="shared" ref="W65:W72" si="74">ROUND((($V$64/($U$64+$U$65+$U$66+$U$67+$U$68+$U$69+$U$70+$U$71+$U$72))*(35*6)),3)</f>
        <v>5894.3549999999996</v>
      </c>
      <c r="X65" s="14"/>
      <c r="Y65" s="58">
        <f t="shared" ref="Y65:Y72" si="75">ROUND((($X$64/($U$64+$U$65+$U$66+$U$67+$U$68+$U$69+$U$70+$U$71+$U$72))*(35*6)),3)</f>
        <v>747.41099999999994</v>
      </c>
      <c r="Z65" s="14"/>
      <c r="AA65" s="14"/>
      <c r="AB65" s="14"/>
      <c r="AC65" s="58">
        <f t="shared" ref="AC65:AC72" si="76">ROUND((($AB$64/($U$64+$U$65+$U$66+$U$67+$U$68+$U$69+$U$70+$U$71+$U$72))*(35*6)),3)</f>
        <v>19898.726999999999</v>
      </c>
      <c r="AD65" s="14"/>
      <c r="AE65" s="58">
        <f>ROUND((($AD$64/($U$64+$U$65+$U$66+$U$67+$U$68+$U$69+$U$70+$U$71+$U$72))*(35*6)),3)</f>
        <v>1000.99</v>
      </c>
      <c r="AF65" s="59">
        <f t="shared" si="5"/>
        <v>27541.483</v>
      </c>
      <c r="AG65" s="59">
        <f>T65+AF65</f>
        <v>163737.21299999999</v>
      </c>
      <c r="AH65" s="14"/>
      <c r="AI65" s="14">
        <f>(AH64/(C64+C65+C66+C67+C68+C69+C70+C71+C72))*C65</f>
        <v>32312.580818790058</v>
      </c>
      <c r="AJ65" s="60">
        <f>AJ35+AJ59</f>
        <v>8438478.0899999999</v>
      </c>
      <c r="AK65" s="16"/>
    </row>
    <row r="66" spans="1:37" ht="48" x14ac:dyDescent="0.25">
      <c r="A66" s="14" t="s">
        <v>40</v>
      </c>
      <c r="B66" s="13" t="s">
        <v>71</v>
      </c>
      <c r="C66" s="14">
        <f>C6+C11+C15+C18+C23+C26+C29+C36+C42+C47+C51+C55+C60+C62</f>
        <v>3572</v>
      </c>
      <c r="D66" s="14">
        <f>D6+D11+D15+D18+D23+D26+D29+D36+D42+D47+D51+D55+D60+D62</f>
        <v>211.48000000000002</v>
      </c>
      <c r="E66" s="14">
        <f t="shared" si="7"/>
        <v>5.9200000000000003E-2</v>
      </c>
      <c r="F66" s="53">
        <f t="shared" si="8"/>
        <v>435378.38399999996</v>
      </c>
      <c r="G66" s="49">
        <f>ROUND((E66*F66),2)</f>
        <v>25774.400000000001</v>
      </c>
      <c r="H66" s="50">
        <f>C66*G66</f>
        <v>92066156.800000012</v>
      </c>
      <c r="I66" s="51">
        <f>I6+I11+I15+I18+I23+I26+I29+I36+I42+I47+I51+I55+I60+I62</f>
        <v>31.76</v>
      </c>
      <c r="J66" s="14">
        <f>ROUND((I66/C66),5)</f>
        <v>8.8900000000000003E-3</v>
      </c>
      <c r="K66" s="51">
        <f t="shared" ref="K66:K72" si="77">ROUND((21420*1.302*12),1)</f>
        <v>334666.09999999998</v>
      </c>
      <c r="L66" s="51">
        <f t="shared" si="17"/>
        <v>2975.2</v>
      </c>
      <c r="M66" s="51">
        <f>C66*L66</f>
        <v>10627414.399999999</v>
      </c>
      <c r="N66" s="14"/>
      <c r="O66" s="14"/>
      <c r="P66" s="14"/>
      <c r="Q66" s="14"/>
      <c r="R66" s="14"/>
      <c r="S66" s="51">
        <f>ROUND((((C6*S6)+(C11*S11)+(C15*S15)+(C18*S18)+(C23*S23)+(C26*S26)+(C29*S29)+(C36*S36)+(C42*S42)+(C47*S47)+(C51*S51)+(C55*S55)+(C60*S60)+(C62*S62))/C66),1)</f>
        <v>4884.3</v>
      </c>
      <c r="T66" s="55">
        <f t="shared" si="14"/>
        <v>33633.9</v>
      </c>
      <c r="U66" s="56">
        <f t="shared" si="1"/>
        <v>750120</v>
      </c>
      <c r="V66" s="14"/>
      <c r="W66" s="58">
        <f t="shared" si="74"/>
        <v>5894.3549999999996</v>
      </c>
      <c r="X66" s="14"/>
      <c r="Y66" s="58">
        <f t="shared" si="75"/>
        <v>747.41099999999994</v>
      </c>
      <c r="Z66" s="14"/>
      <c r="AA66" s="14"/>
      <c r="AB66" s="14"/>
      <c r="AC66" s="58">
        <f t="shared" si="76"/>
        <v>19898.726999999999</v>
      </c>
      <c r="AD66" s="14"/>
      <c r="AE66" s="58">
        <f t="shared" ref="AE66:AE72" si="78">ROUND((($AD$64/($U$64+$U$65+$U$66+$U$67+$U$68+$U$69+$U$70+$U$71+$U$72))*(35*6)),3)</f>
        <v>1000.99</v>
      </c>
      <c r="AF66" s="59">
        <f t="shared" si="5"/>
        <v>27541.483</v>
      </c>
      <c r="AG66" s="59">
        <f t="shared" si="6"/>
        <v>61175.383000000002</v>
      </c>
      <c r="AH66" s="14"/>
      <c r="AI66" s="14">
        <f>(AH64/(C64+C65+C66+C67+C68+C69+C70+C71+C72))*C66</f>
        <v>2308410.773694362</v>
      </c>
      <c r="AJ66" s="60">
        <f>AJ6+AJ11+AJ15+AJ18+AJ23+AJ26+AJ29+AJ36+AJ42+AJ47+AJ51+AJ55+AJ60+AJ62</f>
        <v>217431770.69</v>
      </c>
      <c r="AK66" s="16"/>
    </row>
    <row r="67" spans="1:37" ht="60" x14ac:dyDescent="0.25">
      <c r="A67" s="14" t="s">
        <v>40</v>
      </c>
      <c r="B67" s="13" t="s">
        <v>77</v>
      </c>
      <c r="C67" s="14">
        <f>C12+C19+C30+C43</f>
        <v>85</v>
      </c>
      <c r="D67" s="14">
        <f>D12+D19+D30+D43</f>
        <v>10.299999999999999</v>
      </c>
      <c r="E67" s="14">
        <f>ROUND((D67/C67),5)</f>
        <v>0.12118</v>
      </c>
      <c r="F67" s="53">
        <f t="shared" si="8"/>
        <v>435378.38399999996</v>
      </c>
      <c r="G67" s="49">
        <f t="shared" ref="G67:G72" si="79">ROUND((E67*F67),2)</f>
        <v>52759.15</v>
      </c>
      <c r="H67" s="50">
        <f t="shared" si="72"/>
        <v>4484527.75</v>
      </c>
      <c r="I67" s="51">
        <f>I12+I19+I30+I43</f>
        <v>1.55</v>
      </c>
      <c r="J67" s="14">
        <f t="shared" si="11"/>
        <v>1.8239999999999999E-2</v>
      </c>
      <c r="K67" s="51">
        <f t="shared" si="77"/>
        <v>334666.09999999998</v>
      </c>
      <c r="L67" s="51">
        <f t="shared" si="17"/>
        <v>6104.3</v>
      </c>
      <c r="M67" s="51">
        <f t="shared" si="13"/>
        <v>518865.5</v>
      </c>
      <c r="N67" s="14"/>
      <c r="O67" s="14"/>
      <c r="P67" s="14"/>
      <c r="Q67" s="14"/>
      <c r="R67" s="14"/>
      <c r="S67" s="51">
        <f>ROUND((((C12*S12)+(C19*S19)+(C30*S30)+(C43*S43))/C67),1)</f>
        <v>5016.6000000000004</v>
      </c>
      <c r="T67" s="55">
        <f t="shared" si="14"/>
        <v>63880.05</v>
      </c>
      <c r="U67" s="56">
        <f t="shared" si="1"/>
        <v>17850</v>
      </c>
      <c r="V67" s="14"/>
      <c r="W67" s="58">
        <f>ROUND((($V$64/($U$64+$U$65+$U$66+$U$67+$U$68+$U$69+$U$70+$U$71+$U$72))*(35*6)),3)</f>
        <v>5894.3549999999996</v>
      </c>
      <c r="X67" s="14"/>
      <c r="Y67" s="58">
        <f t="shared" si="75"/>
        <v>747.41099999999994</v>
      </c>
      <c r="Z67" s="14"/>
      <c r="AA67" s="14"/>
      <c r="AB67" s="14"/>
      <c r="AC67" s="58">
        <f t="shared" si="76"/>
        <v>19898.726999999999</v>
      </c>
      <c r="AD67" s="14"/>
      <c r="AE67" s="58">
        <f>ROUND((($AD$64/($U$64+$U$65+$U$66+$U$67+$U$68+$U$69+$U$70+$U$71+$U$72))*(35*6)),3)</f>
        <v>1000.99</v>
      </c>
      <c r="AF67" s="59">
        <f t="shared" si="5"/>
        <v>27541.483</v>
      </c>
      <c r="AG67" s="59">
        <f t="shared" si="6"/>
        <v>91421.532999999996</v>
      </c>
      <c r="AH67" s="14"/>
      <c r="AI67" s="14">
        <f>(AH64/(C64+C65+C66+C67+C68+C69+C70+C71+C72))*C67</f>
        <v>54931.387391943099</v>
      </c>
      <c r="AJ67" s="60">
        <f>AJ12+AJ19+AJ30+AJ43</f>
        <v>7504891.4900000002</v>
      </c>
      <c r="AK67" s="16"/>
    </row>
    <row r="68" spans="1:37" ht="48" x14ac:dyDescent="0.25">
      <c r="A68" s="14" t="s">
        <v>40</v>
      </c>
      <c r="B68" s="13" t="s">
        <v>72</v>
      </c>
      <c r="C68" s="14">
        <f>C7+C13+C16+C20+C24+C27+C31+C37+C44+C48+C52+C56+C61+C63</f>
        <v>3905</v>
      </c>
      <c r="D68" s="14">
        <f>D7+D13+D16+D20+D24+D27+D31+D37+D44+D48+D52+D56+D61+D63</f>
        <v>345.34000000000003</v>
      </c>
      <c r="E68" s="14">
        <f t="shared" si="7"/>
        <v>8.8440000000000005E-2</v>
      </c>
      <c r="F68" s="53">
        <f t="shared" si="8"/>
        <v>435378.38399999996</v>
      </c>
      <c r="G68" s="49">
        <f t="shared" si="79"/>
        <v>38504.86</v>
      </c>
      <c r="H68" s="50">
        <f t="shared" si="72"/>
        <v>150361478.30000001</v>
      </c>
      <c r="I68" s="51">
        <f>I7+I13+I16+I20+I24+I27+I31+I37+I44+I48+I52+I56+I61+I63</f>
        <v>34.590000000000003</v>
      </c>
      <c r="J68" s="14">
        <f t="shared" si="11"/>
        <v>8.8599999999999998E-3</v>
      </c>
      <c r="K68" s="51">
        <f t="shared" si="77"/>
        <v>334666.09999999998</v>
      </c>
      <c r="L68" s="51">
        <f t="shared" si="17"/>
        <v>2965.1</v>
      </c>
      <c r="M68" s="51">
        <f t="shared" si="13"/>
        <v>11578715.5</v>
      </c>
      <c r="N68" s="14"/>
      <c r="O68" s="14"/>
      <c r="P68" s="14"/>
      <c r="Q68" s="14"/>
      <c r="R68" s="14"/>
      <c r="S68" s="51">
        <f>ROUND((((C7*S7)+(C13*S13)+(C16*S16)+(C20*S20)+(C24*S24)+(C27*S27)+(C31*S31)+(C37*S37)+(C44*S44)+(C48*S48)+(C52*S52)+(C56*S56)+(C61*S61)+(C63*S63))/C68),1)</f>
        <v>4921.3</v>
      </c>
      <c r="T68" s="55">
        <f t="shared" si="14"/>
        <v>46391.26</v>
      </c>
      <c r="U68" s="56">
        <f t="shared" si="1"/>
        <v>820050</v>
      </c>
      <c r="V68" s="14"/>
      <c r="W68" s="58">
        <f t="shared" si="74"/>
        <v>5894.3549999999996</v>
      </c>
      <c r="X68" s="14"/>
      <c r="Y68" s="58">
        <f t="shared" si="75"/>
        <v>747.41099999999994</v>
      </c>
      <c r="Z68" s="14"/>
      <c r="AA68" s="14"/>
      <c r="AB68" s="14"/>
      <c r="AC68" s="58">
        <f t="shared" si="76"/>
        <v>19898.726999999999</v>
      </c>
      <c r="AD68" s="14"/>
      <c r="AE68" s="58">
        <f t="shared" si="78"/>
        <v>1000.99</v>
      </c>
      <c r="AF68" s="59">
        <f t="shared" si="5"/>
        <v>27541.483</v>
      </c>
      <c r="AG68" s="59">
        <f t="shared" si="6"/>
        <v>73932.743000000002</v>
      </c>
      <c r="AH68" s="14"/>
      <c r="AI68" s="14">
        <f>(AH64/(C64+C65+C66+C67+C68+C69+C70+C71+C72))*C68</f>
        <v>2523612.5619475036</v>
      </c>
      <c r="AJ68" s="60">
        <f>AJ7+AJ13+AJ16+AJ20+AJ24+AJ27+AJ31+AJ37+AJ44+AJ48+AJ52+AJ56+AJ61+AJ63</f>
        <v>289789832.09000003</v>
      </c>
      <c r="AK68" s="16"/>
    </row>
    <row r="69" spans="1:37" s="98" customFormat="1" ht="60" x14ac:dyDescent="0.25">
      <c r="A69" s="64" t="s">
        <v>40</v>
      </c>
      <c r="B69" s="65" t="s">
        <v>80</v>
      </c>
      <c r="C69" s="64">
        <f>C21+C32+C45+C49+C57</f>
        <v>136</v>
      </c>
      <c r="D69" s="64">
        <f>D21+D32+D45+D49+D57</f>
        <v>19.53</v>
      </c>
      <c r="E69" s="64">
        <f t="shared" si="7"/>
        <v>0.14360000000000001</v>
      </c>
      <c r="F69" s="66">
        <f t="shared" si="8"/>
        <v>435378.38399999996</v>
      </c>
      <c r="G69" s="67">
        <f t="shared" si="79"/>
        <v>62520.34</v>
      </c>
      <c r="H69" s="50">
        <f t="shared" si="72"/>
        <v>8502766.2400000002</v>
      </c>
      <c r="I69" s="50">
        <f>I21+I32+I45+I49+I57</f>
        <v>2.09</v>
      </c>
      <c r="J69" s="64">
        <f>ROUND((I69/C69),5)</f>
        <v>1.537E-2</v>
      </c>
      <c r="K69" s="50">
        <f t="shared" si="77"/>
        <v>334666.09999999998</v>
      </c>
      <c r="L69" s="50">
        <f t="shared" si="17"/>
        <v>5143.8</v>
      </c>
      <c r="M69" s="50">
        <f t="shared" si="13"/>
        <v>699556.8</v>
      </c>
      <c r="N69" s="64"/>
      <c r="O69" s="64"/>
      <c r="P69" s="64"/>
      <c r="Q69" s="64"/>
      <c r="R69" s="64"/>
      <c r="S69" s="50">
        <f>ROUND((((C21*S21)+(C32*S32)+(C45*S45)+(C49*S49)+(C57*S57))/C69),1)</f>
        <v>5429.9</v>
      </c>
      <c r="T69" s="68">
        <f>G69+L69+Q69+S69</f>
        <v>73094.039999999994</v>
      </c>
      <c r="U69" s="63">
        <f t="shared" si="1"/>
        <v>28560</v>
      </c>
      <c r="V69" s="64"/>
      <c r="W69" s="69">
        <f t="shared" si="74"/>
        <v>5894.3549999999996</v>
      </c>
      <c r="X69" s="64"/>
      <c r="Y69" s="69">
        <f t="shared" si="75"/>
        <v>747.41099999999994</v>
      </c>
      <c r="Z69" s="64"/>
      <c r="AA69" s="64"/>
      <c r="AB69" s="64"/>
      <c r="AC69" s="69">
        <f t="shared" si="76"/>
        <v>19898.726999999999</v>
      </c>
      <c r="AD69" s="64"/>
      <c r="AE69" s="69">
        <f t="shared" si="78"/>
        <v>1000.99</v>
      </c>
      <c r="AF69" s="70">
        <f t="shared" si="5"/>
        <v>27541.483</v>
      </c>
      <c r="AG69" s="70">
        <f t="shared" si="6"/>
        <v>100635.52299999999</v>
      </c>
      <c r="AH69" s="64"/>
      <c r="AI69" s="64">
        <f>(AH64/(C64+C65+C66+C67+C68+C69+C70+C71+C72))*C69</f>
        <v>87890.219827108958</v>
      </c>
      <c r="AJ69" s="71">
        <f>AJ21+AJ32+AJ45+AJ49+AJ57</f>
        <v>13749459.679999998</v>
      </c>
      <c r="AK69" s="31"/>
    </row>
    <row r="70" spans="1:37" ht="96" x14ac:dyDescent="0.25">
      <c r="A70" s="14" t="s">
        <v>40</v>
      </c>
      <c r="B70" s="13" t="s">
        <v>73</v>
      </c>
      <c r="C70" s="14">
        <f>C8+C38</f>
        <v>196</v>
      </c>
      <c r="D70" s="14">
        <f>D8+D38</f>
        <v>19.3</v>
      </c>
      <c r="E70" s="14">
        <f t="shared" si="7"/>
        <v>9.8470000000000002E-2</v>
      </c>
      <c r="F70" s="53">
        <f t="shared" si="8"/>
        <v>435378.38399999996</v>
      </c>
      <c r="G70" s="49">
        <f>ROUND((E70*F70),2)</f>
        <v>42871.71</v>
      </c>
      <c r="H70" s="50">
        <f t="shared" si="72"/>
        <v>8402855.1600000001</v>
      </c>
      <c r="I70" s="51">
        <f>I8+I38</f>
        <v>3.5</v>
      </c>
      <c r="J70" s="14">
        <f>ROUND((I70/C70),5)</f>
        <v>1.7860000000000001E-2</v>
      </c>
      <c r="K70" s="51">
        <f t="shared" si="77"/>
        <v>334666.09999999998</v>
      </c>
      <c r="L70" s="51">
        <f>ROUND((J70*K70),1)</f>
        <v>5977.1</v>
      </c>
      <c r="M70" s="51">
        <f>C70*L70</f>
        <v>1171511.6000000001</v>
      </c>
      <c r="N70" s="14"/>
      <c r="O70" s="14"/>
      <c r="P70" s="14"/>
      <c r="Q70" s="14"/>
      <c r="R70" s="14"/>
      <c r="S70" s="51">
        <f>ROUND((((C8*S8)+(C38*S38))/C70),1)</f>
        <v>4713.3999999999996</v>
      </c>
      <c r="T70" s="55">
        <f>G70+L70+Q70+S70</f>
        <v>53562.21</v>
      </c>
      <c r="U70" s="56">
        <f t="shared" si="1"/>
        <v>41160</v>
      </c>
      <c r="V70" s="14"/>
      <c r="W70" s="58">
        <f t="shared" si="74"/>
        <v>5894.3549999999996</v>
      </c>
      <c r="X70" s="14"/>
      <c r="Y70" s="58">
        <f t="shared" si="75"/>
        <v>747.41099999999994</v>
      </c>
      <c r="Z70" s="14"/>
      <c r="AA70" s="14"/>
      <c r="AB70" s="14"/>
      <c r="AC70" s="58">
        <f t="shared" si="76"/>
        <v>19898.726999999999</v>
      </c>
      <c r="AD70" s="14"/>
      <c r="AE70" s="58">
        <f t="shared" si="78"/>
        <v>1000.99</v>
      </c>
      <c r="AF70" s="59">
        <f t="shared" ref="AF70:AF72" si="80">W70+Y70+AA70+AC70+AE70</f>
        <v>27541.483</v>
      </c>
      <c r="AG70" s="59">
        <f t="shared" si="6"/>
        <v>81103.692999999999</v>
      </c>
      <c r="AH70" s="14"/>
      <c r="AI70" s="14">
        <f>(AH64/(C64+C65+C66+C67+C68+C69+C70+C71+C72))*C70</f>
        <v>126665.31680965703</v>
      </c>
      <c r="AJ70" s="60">
        <f>AJ8+AJ38</f>
        <v>14998010.76</v>
      </c>
      <c r="AK70" s="16"/>
    </row>
    <row r="71" spans="1:37" ht="48" x14ac:dyDescent="0.25">
      <c r="A71" s="14" t="s">
        <v>40</v>
      </c>
      <c r="B71" s="13" t="s">
        <v>74</v>
      </c>
      <c r="C71" s="14">
        <f>C9+C14+C17+C22+C25+C28+C33+C39+C46+C50+C53</f>
        <v>387</v>
      </c>
      <c r="D71" s="14">
        <f>D9+D14+D17+D22+D25+D28+D33+D39+D46+D50+D53</f>
        <v>46.85</v>
      </c>
      <c r="E71" s="14">
        <f t="shared" si="7"/>
        <v>0.12106</v>
      </c>
      <c r="F71" s="53">
        <f t="shared" ref="F71:F72" si="81">27866*1.302*12</f>
        <v>435378.38399999996</v>
      </c>
      <c r="G71" s="49">
        <f t="shared" si="79"/>
        <v>52706.91</v>
      </c>
      <c r="H71" s="50">
        <f>C71*G71</f>
        <v>20397574.170000002</v>
      </c>
      <c r="I71" s="51">
        <f>I9+I14+I17+I22+I25+I28+I33+I39+I46+I50+I53</f>
        <v>5.5100000000000007</v>
      </c>
      <c r="J71" s="14">
        <f>ROUND((I71/C71),5)</f>
        <v>1.4239999999999999E-2</v>
      </c>
      <c r="K71" s="51">
        <f t="shared" si="77"/>
        <v>334666.09999999998</v>
      </c>
      <c r="L71" s="51">
        <f t="shared" si="17"/>
        <v>4765.6000000000004</v>
      </c>
      <c r="M71" s="51">
        <f t="shared" si="13"/>
        <v>1844287.2000000002</v>
      </c>
      <c r="N71" s="14"/>
      <c r="O71" s="14"/>
      <c r="P71" s="14"/>
      <c r="Q71" s="14"/>
      <c r="R71" s="14"/>
      <c r="S71" s="51">
        <f>ROUND((((C9*S9)+(C14*S14)+(C17*S17)+(C22*S22)+(C25*S25)+(C28*S28)+(C33*S33)+(C39*S39)+(C46*S46)+(C50*S50)+(C53*S53))/C71),1)</f>
        <v>4652.8999999999996</v>
      </c>
      <c r="T71" s="55">
        <f t="shared" si="14"/>
        <v>62125.41</v>
      </c>
      <c r="U71" s="56">
        <f t="shared" si="1"/>
        <v>81270</v>
      </c>
      <c r="V71" s="14"/>
      <c r="W71" s="58">
        <f t="shared" si="74"/>
        <v>5894.3549999999996</v>
      </c>
      <c r="X71" s="14"/>
      <c r="Y71" s="58">
        <f t="shared" si="75"/>
        <v>747.41099999999994</v>
      </c>
      <c r="Z71" s="14"/>
      <c r="AA71" s="14"/>
      <c r="AB71" s="14"/>
      <c r="AC71" s="58">
        <f t="shared" si="76"/>
        <v>19898.726999999999</v>
      </c>
      <c r="AD71" s="14"/>
      <c r="AE71" s="58">
        <f t="shared" si="78"/>
        <v>1000.99</v>
      </c>
      <c r="AF71" s="59">
        <f t="shared" si="80"/>
        <v>27541.483</v>
      </c>
      <c r="AG71" s="59">
        <f t="shared" si="6"/>
        <v>89666.893000000011</v>
      </c>
      <c r="AH71" s="14"/>
      <c r="AI71" s="14">
        <f>(AH64/(C64+C65+C66+C67+C68+C69+C70+C71+C72))*C71</f>
        <v>250099.37553743506</v>
      </c>
      <c r="AJ71" s="60">
        <f>AJ9+AJ14+AJ17+AJ22+AJ25+AJ28+AJ33+AJ39+AJ46+AJ50+AJ53</f>
        <v>33568601.189999998</v>
      </c>
      <c r="AK71" s="16"/>
    </row>
    <row r="72" spans="1:37" ht="96" x14ac:dyDescent="0.25">
      <c r="A72" s="14" t="s">
        <v>40</v>
      </c>
      <c r="B72" s="13" t="s">
        <v>75</v>
      </c>
      <c r="C72" s="14">
        <f>C10+C40</f>
        <v>141</v>
      </c>
      <c r="D72" s="14">
        <f>D10+D40</f>
        <v>15</v>
      </c>
      <c r="E72" s="14">
        <f t="shared" si="7"/>
        <v>0.10638</v>
      </c>
      <c r="F72" s="53">
        <f t="shared" si="81"/>
        <v>435378.38399999996</v>
      </c>
      <c r="G72" s="49">
        <f t="shared" si="79"/>
        <v>46315.55</v>
      </c>
      <c r="H72" s="50">
        <f>C72*G72</f>
        <v>6530492.5500000007</v>
      </c>
      <c r="I72" s="51">
        <f>I10+I40</f>
        <v>4</v>
      </c>
      <c r="J72" s="14">
        <f t="shared" si="11"/>
        <v>2.8369999999999999E-2</v>
      </c>
      <c r="K72" s="51">
        <f t="shared" si="77"/>
        <v>334666.09999999998</v>
      </c>
      <c r="L72" s="51">
        <f>ROUND((J72*K72),1)</f>
        <v>9494.5</v>
      </c>
      <c r="M72" s="51">
        <f>C72*L72</f>
        <v>1338724.5</v>
      </c>
      <c r="N72" s="14"/>
      <c r="O72" s="14"/>
      <c r="P72" s="14"/>
      <c r="Q72" s="14"/>
      <c r="R72" s="14"/>
      <c r="S72" s="51">
        <f>ROUND((((C10*S10)+(C40*S40))/C72),1)</f>
        <v>4742.7</v>
      </c>
      <c r="T72" s="55">
        <f t="shared" si="14"/>
        <v>60552.75</v>
      </c>
      <c r="U72" s="72">
        <f t="shared" si="1"/>
        <v>29610</v>
      </c>
      <c r="V72" s="14"/>
      <c r="W72" s="73">
        <f t="shared" si="74"/>
        <v>5894.3549999999996</v>
      </c>
      <c r="X72" s="14"/>
      <c r="Y72" s="73">
        <f t="shared" si="75"/>
        <v>747.41099999999994</v>
      </c>
      <c r="Z72" s="14"/>
      <c r="AA72" s="14"/>
      <c r="AB72" s="14"/>
      <c r="AC72" s="73">
        <f t="shared" si="76"/>
        <v>19898.726999999999</v>
      </c>
      <c r="AD72" s="14"/>
      <c r="AE72" s="73">
        <f t="shared" si="78"/>
        <v>1000.99</v>
      </c>
      <c r="AF72" s="59">
        <f t="shared" si="80"/>
        <v>27541.483</v>
      </c>
      <c r="AG72" s="59">
        <f t="shared" si="6"/>
        <v>88094.233000000007</v>
      </c>
      <c r="AH72" s="14"/>
      <c r="AI72" s="14">
        <f>(AH64/(C64+C65+C66+C67+C68+C69+C70+C71+C72))*C72</f>
        <v>91121.477908987959</v>
      </c>
      <c r="AJ72" s="60">
        <f>AJ10+AJ40</f>
        <v>11984237.879999999</v>
      </c>
      <c r="AK72" s="16"/>
    </row>
  </sheetData>
  <mergeCells count="22">
    <mergeCell ref="A51:A53"/>
    <mergeCell ref="A54:A57"/>
    <mergeCell ref="A58:A61"/>
    <mergeCell ref="A62:A63"/>
    <mergeCell ref="A23:A25"/>
    <mergeCell ref="A26:A28"/>
    <mergeCell ref="A29:A33"/>
    <mergeCell ref="A34:A40"/>
    <mergeCell ref="A41:A46"/>
    <mergeCell ref="A47:A50"/>
    <mergeCell ref="AI2:AI3"/>
    <mergeCell ref="AJ2:AJ3"/>
    <mergeCell ref="A5:A10"/>
    <mergeCell ref="A11:A14"/>
    <mergeCell ref="A15:A17"/>
    <mergeCell ref="AG2:AG3"/>
    <mergeCell ref="AH2:AH3"/>
    <mergeCell ref="A18:A22"/>
    <mergeCell ref="H1:K1"/>
    <mergeCell ref="A2:A3"/>
    <mergeCell ref="B2:T2"/>
    <mergeCell ref="U2:AF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"/>
  <sheetViews>
    <sheetView topLeftCell="J7" workbookViewId="0">
      <selection activeCell="R9" sqref="R9"/>
    </sheetView>
  </sheetViews>
  <sheetFormatPr defaultColWidth="9.109375" defaultRowHeight="13.8" x14ac:dyDescent="0.25"/>
  <cols>
    <col min="1" max="1" width="16.5546875" style="2" customWidth="1"/>
    <col min="2" max="2" width="18.5546875" style="2" customWidth="1"/>
    <col min="3" max="3" width="8" style="2" customWidth="1"/>
    <col min="4" max="4" width="7.5546875" style="2" customWidth="1"/>
    <col min="5" max="5" width="13.6640625" style="2" customWidth="1"/>
    <col min="6" max="6" width="9.44140625" style="2" customWidth="1"/>
    <col min="7" max="7" width="23" style="2" customWidth="1"/>
    <col min="8" max="8" width="15.88671875" style="2" customWidth="1"/>
    <col min="9" max="9" width="11.88671875" style="2" customWidth="1"/>
    <col min="10" max="10" width="29.6640625" style="39" customWidth="1"/>
    <col min="11" max="12" width="12.33203125" style="2" customWidth="1"/>
    <col min="13" max="13" width="19.33203125" style="2" customWidth="1"/>
    <col min="14" max="14" width="18.6640625" style="2" customWidth="1"/>
    <col min="15" max="15" width="22" style="2" customWidth="1"/>
    <col min="16" max="16" width="15" style="2" customWidth="1"/>
    <col min="17" max="17" width="19.44140625" style="2" customWidth="1"/>
    <col min="18" max="18" width="11" style="2" customWidth="1"/>
    <col min="19" max="19" width="19.109375" style="2" customWidth="1"/>
    <col min="20" max="20" width="20.88671875" style="2" customWidth="1"/>
    <col min="21" max="21" width="23.5546875" style="2" customWidth="1"/>
    <col min="22" max="22" width="12.6640625" style="2" customWidth="1"/>
    <col min="23" max="23" width="20.5546875" style="2" customWidth="1"/>
    <col min="24" max="24" width="55.88671875" style="39" customWidth="1"/>
    <col min="25" max="25" width="21.6640625" style="39" customWidth="1"/>
    <col min="26" max="27" width="11.33203125" style="2" customWidth="1"/>
    <col min="28" max="28" width="19.109375" style="2" customWidth="1"/>
    <col min="29" max="29" width="69.6640625" style="2" customWidth="1"/>
    <col min="30" max="16384" width="9.109375" style="2"/>
  </cols>
  <sheetData>
    <row r="1" spans="1:29" ht="14.4" thickBot="1" x14ac:dyDescent="0.3">
      <c r="E1" s="113" t="s">
        <v>92</v>
      </c>
      <c r="F1" s="113"/>
      <c r="G1" s="113"/>
    </row>
    <row r="2" spans="1:29" ht="18" thickBot="1" x14ac:dyDescent="0.35">
      <c r="A2" s="132" t="s">
        <v>33</v>
      </c>
      <c r="B2" s="116" t="s">
        <v>41</v>
      </c>
      <c r="C2" s="116"/>
      <c r="D2" s="116"/>
      <c r="E2" s="116"/>
      <c r="F2" s="116"/>
      <c r="G2" s="116"/>
      <c r="H2" s="116"/>
      <c r="I2" s="116"/>
      <c r="J2" s="117"/>
      <c r="K2" s="118" t="s">
        <v>54</v>
      </c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34" t="s">
        <v>56</v>
      </c>
      <c r="Z2" s="134" t="s">
        <v>57</v>
      </c>
      <c r="AA2" s="134" t="s">
        <v>57</v>
      </c>
      <c r="AB2" s="134" t="s">
        <v>93</v>
      </c>
      <c r="AC2" s="134" t="s">
        <v>58</v>
      </c>
    </row>
    <row r="3" spans="1:29" ht="108.6" thickBot="1" x14ac:dyDescent="0.3">
      <c r="A3" s="140"/>
      <c r="B3" s="74" t="s">
        <v>25</v>
      </c>
      <c r="C3" s="75" t="s">
        <v>94</v>
      </c>
      <c r="D3" s="75" t="s">
        <v>29</v>
      </c>
      <c r="E3" s="75" t="s">
        <v>35</v>
      </c>
      <c r="F3" s="75" t="s">
        <v>34</v>
      </c>
      <c r="G3" s="75" t="s">
        <v>37</v>
      </c>
      <c r="H3" s="76"/>
      <c r="I3" s="77" t="s">
        <v>38</v>
      </c>
      <c r="J3" s="45" t="s">
        <v>39</v>
      </c>
      <c r="K3" s="78" t="s">
        <v>68</v>
      </c>
      <c r="L3" s="78" t="s">
        <v>42</v>
      </c>
      <c r="M3" s="75" t="s">
        <v>43</v>
      </c>
      <c r="N3" s="78" t="s">
        <v>44</v>
      </c>
      <c r="O3" s="75" t="s">
        <v>45</v>
      </c>
      <c r="P3" s="6" t="s">
        <v>46</v>
      </c>
      <c r="Q3" s="4" t="s">
        <v>47</v>
      </c>
      <c r="R3" s="78" t="s">
        <v>48</v>
      </c>
      <c r="S3" s="75" t="s">
        <v>49</v>
      </c>
      <c r="T3" s="78" t="s">
        <v>50</v>
      </c>
      <c r="U3" s="75" t="s">
        <v>51</v>
      </c>
      <c r="V3" s="78" t="s">
        <v>52</v>
      </c>
      <c r="W3" s="75" t="s">
        <v>53</v>
      </c>
      <c r="X3" s="45" t="s">
        <v>55</v>
      </c>
      <c r="Y3" s="141"/>
      <c r="Z3" s="141"/>
      <c r="AA3" s="141"/>
      <c r="AB3" s="142"/>
      <c r="AC3" s="135"/>
    </row>
    <row r="4" spans="1:29" ht="42.75" customHeight="1" x14ac:dyDescent="0.25">
      <c r="A4" s="99"/>
      <c r="B4" s="12"/>
      <c r="C4" s="12"/>
      <c r="D4" s="12"/>
      <c r="E4" s="12"/>
      <c r="F4" s="12"/>
      <c r="G4" s="12"/>
      <c r="H4" s="14" t="s">
        <v>30</v>
      </c>
      <c r="I4" s="14"/>
      <c r="J4" s="42"/>
      <c r="K4" s="101"/>
      <c r="L4" s="101"/>
      <c r="M4" s="101"/>
      <c r="N4" s="14"/>
      <c r="O4" s="14"/>
      <c r="P4" s="14"/>
      <c r="Q4" s="14"/>
      <c r="R4" s="14"/>
      <c r="S4" s="14"/>
      <c r="T4" s="14"/>
      <c r="U4" s="14"/>
      <c r="V4" s="14"/>
      <c r="W4" s="14"/>
      <c r="X4" s="42"/>
      <c r="Y4" s="42"/>
      <c r="Z4" s="14"/>
      <c r="AA4" s="14"/>
      <c r="AB4" s="14"/>
      <c r="AC4" s="108"/>
    </row>
    <row r="5" spans="1:29" ht="48" x14ac:dyDescent="0.25">
      <c r="A5" s="79" t="s">
        <v>95</v>
      </c>
      <c r="B5" s="13" t="s">
        <v>96</v>
      </c>
      <c r="C5" s="14">
        <v>113976</v>
      </c>
      <c r="D5" s="14">
        <v>50</v>
      </c>
      <c r="E5" s="14">
        <f>ROUND((D5/C5),5)</f>
        <v>4.4000000000000002E-4</v>
      </c>
      <c r="F5" s="53">
        <f>21360*1.302*12</f>
        <v>333728.64000000001</v>
      </c>
      <c r="G5" s="49">
        <f>ROUND((E5*F5),4)</f>
        <v>146.84059999999999</v>
      </c>
      <c r="H5" s="51">
        <f>C5*G5</f>
        <v>16736304.225599999</v>
      </c>
      <c r="I5" s="51"/>
      <c r="J5" s="55">
        <f>G5+I5</f>
        <v>146.84059999999999</v>
      </c>
      <c r="K5" s="72">
        <f>210*C5</f>
        <v>23934960</v>
      </c>
      <c r="L5" s="72">
        <v>1268999.9999999998</v>
      </c>
      <c r="M5" s="73">
        <f>ROUND(((L5/K5)*(35*6)),3)</f>
        <v>11.134</v>
      </c>
      <c r="N5" s="14">
        <v>330600</v>
      </c>
      <c r="O5" s="73">
        <f>ROUND(((N5/K5)*(35*6)),3)</f>
        <v>2.9009999999999998</v>
      </c>
      <c r="P5" s="73">
        <v>168000</v>
      </c>
      <c r="Q5" s="73">
        <f>ROUND(((P5/K5)*(35*6)),3)</f>
        <v>1.474</v>
      </c>
      <c r="R5" s="14">
        <v>0</v>
      </c>
      <c r="S5" s="73">
        <f>ROUND(((R5/K5)*(35*6)),3)</f>
        <v>0</v>
      </c>
      <c r="T5" s="14">
        <f>ROUND((([2]Лист1!G4+[2]Лист1!J4)*1.302*1000),1)</f>
        <v>6918307.2000000002</v>
      </c>
      <c r="U5" s="73">
        <f>ROUND(((T5/K5)*(35*6)),3)</f>
        <v>60.7</v>
      </c>
      <c r="V5" s="14">
        <v>1017425.6</v>
      </c>
      <c r="W5" s="73">
        <f>ROUND(((V5/K5)*(35*6)),3)</f>
        <v>8.9269999999999996</v>
      </c>
      <c r="X5" s="59">
        <f>M5+O5+Q5+S5+U5+W5</f>
        <v>85.135999999999996</v>
      </c>
      <c r="Y5" s="59">
        <f>J5+X5</f>
        <v>231.97659999999999</v>
      </c>
      <c r="Z5" s="14">
        <v>52279.33814</v>
      </c>
      <c r="AA5" s="14"/>
      <c r="AB5" s="14"/>
      <c r="AC5" s="14">
        <f>ROUND(((Y5*C5)+Z5+AB5),2)</f>
        <v>26492044.300000001</v>
      </c>
    </row>
    <row r="6" spans="1:29" ht="48" x14ac:dyDescent="0.25">
      <c r="A6" s="79" t="s">
        <v>97</v>
      </c>
      <c r="B6" s="13" t="s">
        <v>96</v>
      </c>
      <c r="C6" s="14">
        <v>50004</v>
      </c>
      <c r="D6" s="14">
        <v>24</v>
      </c>
      <c r="E6" s="14">
        <f t="shared" ref="E6:E10" si="0">ROUND((D6/C6),5)</f>
        <v>4.8000000000000001E-4</v>
      </c>
      <c r="F6" s="53">
        <f>17165*1.302*12</f>
        <v>268185.96000000002</v>
      </c>
      <c r="G6" s="49">
        <f>ROUND((E6*F6),4)</f>
        <v>128.72929999999999</v>
      </c>
      <c r="H6" s="51">
        <f t="shared" ref="H6" si="1">C6*G6</f>
        <v>6436979.9172</v>
      </c>
      <c r="I6" s="51"/>
      <c r="J6" s="55">
        <f t="shared" ref="J6:J14" si="2">G6+I6</f>
        <v>128.72929999999999</v>
      </c>
      <c r="K6" s="72">
        <f t="shared" ref="K6:K14" si="3">210*C6</f>
        <v>10500840</v>
      </c>
      <c r="L6" s="72">
        <v>1206700</v>
      </c>
      <c r="M6" s="73">
        <f>ROUND(((L6/K6)*(35*6)),3)</f>
        <v>24.132000000000001</v>
      </c>
      <c r="N6" s="14">
        <v>358197</v>
      </c>
      <c r="O6" s="73">
        <f>ROUND(((N6/K6)*(35*6)),3)</f>
        <v>7.1630000000000003</v>
      </c>
      <c r="P6" s="14">
        <v>60000</v>
      </c>
      <c r="Q6" s="73">
        <f>ROUND(((P6/K6)*(35*6)),3)</f>
        <v>1.2</v>
      </c>
      <c r="R6" s="14">
        <v>0</v>
      </c>
      <c r="S6" s="73">
        <f>ROUND(((R6/K6)*(35*6)),3)</f>
        <v>0</v>
      </c>
      <c r="T6" s="14">
        <f>ROUND((([2]Лист1!G5+[2]Лист1!J5)*1.302*1000),1)</f>
        <v>6693321.5999999996</v>
      </c>
      <c r="U6" s="73">
        <f>ROUND(((T6/K6)*(35*6)),3)</f>
        <v>133.85599999999999</v>
      </c>
      <c r="V6" s="14">
        <v>162044</v>
      </c>
      <c r="W6" s="73">
        <f>ROUND(((V6/K6)*(35*6)),3)</f>
        <v>3.2410000000000001</v>
      </c>
      <c r="X6" s="59">
        <f>M6+O6+Q6+S6+U6+W6</f>
        <v>169.59200000000001</v>
      </c>
      <c r="Y6" s="59">
        <f t="shared" ref="Y6:Y15" si="4">J6+X6</f>
        <v>298.32130000000001</v>
      </c>
      <c r="Z6" s="14">
        <v>38501.334459999998</v>
      </c>
      <c r="AA6" s="14"/>
      <c r="AB6" s="14"/>
      <c r="AC6" s="14">
        <f>ROUND(((Y6*C6)+Z6+AB6),2)</f>
        <v>14955759.619999999</v>
      </c>
    </row>
    <row r="7" spans="1:29" ht="72.75" customHeight="1" x14ac:dyDescent="0.25">
      <c r="A7" s="143" t="s">
        <v>98</v>
      </c>
      <c r="B7" s="13" t="s">
        <v>96</v>
      </c>
      <c r="C7" s="14">
        <v>226345</v>
      </c>
      <c r="D7" s="14">
        <v>23</v>
      </c>
      <c r="E7" s="14">
        <f t="shared" si="0"/>
        <v>1E-4</v>
      </c>
      <c r="F7" s="53">
        <f>27655*1.302*12</f>
        <v>432081.72</v>
      </c>
      <c r="G7" s="49">
        <f>ROUND((E7*F7),4)</f>
        <v>43.208199999999998</v>
      </c>
      <c r="H7" s="51">
        <f>C7*G7</f>
        <v>9779960.0289999992</v>
      </c>
      <c r="I7" s="51"/>
      <c r="J7" s="55">
        <f>G7+I7</f>
        <v>43.208199999999998</v>
      </c>
      <c r="K7" s="72">
        <f t="shared" si="3"/>
        <v>47532450</v>
      </c>
      <c r="L7" s="72">
        <v>2574000</v>
      </c>
      <c r="M7" s="73">
        <f>ROUND(((L7/(K7+K8))*(35*6)),3)</f>
        <v>8.1440000000000001</v>
      </c>
      <c r="N7" s="14">
        <v>134160</v>
      </c>
      <c r="O7" s="73">
        <f>ROUND(((N7/(K7+K8))*35*6),4)</f>
        <v>0.42449999999999999</v>
      </c>
      <c r="P7" s="14">
        <v>0</v>
      </c>
      <c r="Q7" s="73">
        <f>ROUND(((P7/(K7+K8))*35*6),4)</f>
        <v>0</v>
      </c>
      <c r="R7" s="14">
        <v>0</v>
      </c>
      <c r="S7" s="73">
        <f>ROUND(((R7/(K7+K8))*35*6),3)</f>
        <v>0</v>
      </c>
      <c r="T7" s="14">
        <f>ROUND((([2]Лист1!G6+[2]Лист1!J6)*1.302*1000),1)</f>
        <v>8829773.4000000004</v>
      </c>
      <c r="U7" s="73">
        <f>ROUND(((T7/(K7+K8))*35*6),3)</f>
        <v>27.936</v>
      </c>
      <c r="V7" s="14">
        <v>0</v>
      </c>
      <c r="W7" s="73">
        <f>ROUND(((V7/(K7+K8))*35*6),3)</f>
        <v>0</v>
      </c>
      <c r="X7" s="59">
        <f>M7+O7+Q7+S7+U7+W7</f>
        <v>36.5045</v>
      </c>
      <c r="Y7" s="59">
        <f>J7+X7</f>
        <v>79.712699999999998</v>
      </c>
      <c r="Z7" s="14">
        <v>138223.86749999999</v>
      </c>
      <c r="AA7" s="14">
        <f>(Z7/(C7+C8))*C7</f>
        <v>98983.726296883644</v>
      </c>
      <c r="AB7" s="14"/>
      <c r="AC7" s="14">
        <f>ROUND(((Y7*C7)+AA7+AB7),2)</f>
        <v>18141554.809999999</v>
      </c>
    </row>
    <row r="8" spans="1:29" ht="72" x14ac:dyDescent="0.25">
      <c r="A8" s="144"/>
      <c r="B8" s="13" t="s">
        <v>99</v>
      </c>
      <c r="C8" s="14">
        <v>89730</v>
      </c>
      <c r="D8" s="14">
        <v>3</v>
      </c>
      <c r="E8" s="14">
        <f t="shared" si="0"/>
        <v>3.0000000000000001E-5</v>
      </c>
      <c r="F8" s="53">
        <f>27655*1.302*12</f>
        <v>432081.72</v>
      </c>
      <c r="G8" s="49">
        <f>ROUND((E8*F8),4)</f>
        <v>12.9625</v>
      </c>
      <c r="H8" s="51">
        <f>C8*G8</f>
        <v>1163125.125</v>
      </c>
      <c r="I8" s="51"/>
      <c r="J8" s="55">
        <f>G8+I8</f>
        <v>12.9625</v>
      </c>
      <c r="K8" s="72">
        <f t="shared" si="3"/>
        <v>18843300</v>
      </c>
      <c r="L8" s="72"/>
      <c r="M8" s="73">
        <f>ROUND(((L7/(K7+K8))*(35*6)),3)</f>
        <v>8.1440000000000001</v>
      </c>
      <c r="N8" s="14"/>
      <c r="O8" s="73">
        <f>ROUND(((N7/(K7+K8))*35*6),4)</f>
        <v>0.42449999999999999</v>
      </c>
      <c r="P8" s="14"/>
      <c r="Q8" s="73">
        <f>ROUND(((P7/(K7+K8))*35*6),4)</f>
        <v>0</v>
      </c>
      <c r="R8" s="14"/>
      <c r="S8" s="73">
        <f>ROUND(((R7/(K7+K8))*35*6),3)</f>
        <v>0</v>
      </c>
      <c r="T8" s="14"/>
      <c r="U8" s="73">
        <f>ROUND(((T7/(K7+K8))*35*6),3)</f>
        <v>27.936</v>
      </c>
      <c r="V8" s="14"/>
      <c r="W8" s="73">
        <f>ROUND(((V7/(K7+K8))*35*6),3)</f>
        <v>0</v>
      </c>
      <c r="X8" s="59">
        <f t="shared" ref="X8:X15" si="5">M8+O8+Q8+S8+U8+W8</f>
        <v>36.5045</v>
      </c>
      <c r="Y8" s="59">
        <f t="shared" ref="Y8:Y10" si="6">J8+X8</f>
        <v>49.466999999999999</v>
      </c>
      <c r="Z8" s="14"/>
      <c r="AA8" s="14">
        <f>(Z7/(C7+C8))*C8</f>
        <v>39240.141203116349</v>
      </c>
      <c r="AB8" s="14"/>
      <c r="AC8" s="14">
        <f>ROUND(((Y8*C8)+AA8+AB8),2)</f>
        <v>4477914.05</v>
      </c>
    </row>
    <row r="9" spans="1:29" ht="48" x14ac:dyDescent="0.25">
      <c r="A9" s="143" t="s">
        <v>100</v>
      </c>
      <c r="B9" s="13" t="s">
        <v>96</v>
      </c>
      <c r="C9" s="14">
        <v>4968</v>
      </c>
      <c r="D9" s="14">
        <v>1</v>
      </c>
      <c r="E9" s="14">
        <f t="shared" si="0"/>
        <v>2.0000000000000001E-4</v>
      </c>
      <c r="F9" s="53">
        <f>24233*1.302*12</f>
        <v>378616.39199999999</v>
      </c>
      <c r="G9" s="49">
        <f>ROUND((E9*F9),2)</f>
        <v>75.72</v>
      </c>
      <c r="H9" s="51">
        <f>C9*G9</f>
        <v>376176.96</v>
      </c>
      <c r="I9" s="51"/>
      <c r="J9" s="55">
        <f t="shared" si="2"/>
        <v>75.72</v>
      </c>
      <c r="K9" s="72">
        <f>210*C9</f>
        <v>1043280</v>
      </c>
      <c r="L9" s="72">
        <v>2198900</v>
      </c>
      <c r="M9" s="73">
        <f>ROUND(((L9/(K9+K10))*(35*6)),3)</f>
        <v>17.704999999999998</v>
      </c>
      <c r="N9" s="14">
        <v>143938.91</v>
      </c>
      <c r="O9" s="73">
        <f>ROUND(((N9/(K9+K10))*35*6),4)</f>
        <v>1.1589</v>
      </c>
      <c r="P9" s="73">
        <v>66300</v>
      </c>
      <c r="Q9" s="73">
        <f>ROUND(((P9/(K9+K10))*35*6),4)</f>
        <v>0.53380000000000005</v>
      </c>
      <c r="R9" s="14">
        <v>162000</v>
      </c>
      <c r="S9" s="73">
        <f>ROUND(((R9/(K9+K10))*35*6),3)</f>
        <v>1.304</v>
      </c>
      <c r="T9" s="14">
        <f>ROUND((([2]Лист1!G7+[2]Лист1!J7)*1.302*1000),1)</f>
        <v>5586100.7999999998</v>
      </c>
      <c r="U9" s="73">
        <f>ROUND(((T9/(K9+K10))*35*6),3)</f>
        <v>44.976999999999997</v>
      </c>
      <c r="V9" s="14">
        <v>475615.56</v>
      </c>
      <c r="W9" s="73">
        <f>ROUND(((V9/(K9+K10))*35*6),3)</f>
        <v>3.8290000000000002</v>
      </c>
      <c r="X9" s="59">
        <f>M9+O9+Q9+S9+U9+W9</f>
        <v>69.507699999999986</v>
      </c>
      <c r="Y9" s="59">
        <f>J9+X9</f>
        <v>145.22769999999997</v>
      </c>
      <c r="Z9" s="14">
        <v>0</v>
      </c>
      <c r="AA9" s="14">
        <f>(Z9/(C9+C10))*C9</f>
        <v>0</v>
      </c>
      <c r="AB9" s="14"/>
      <c r="AC9" s="14">
        <f>ROUND(((Y9*C9)+AA9+AB9),2)</f>
        <v>721491.21</v>
      </c>
    </row>
    <row r="10" spans="1:29" ht="72" x14ac:dyDescent="0.25">
      <c r="A10" s="144"/>
      <c r="B10" s="13" t="s">
        <v>99</v>
      </c>
      <c r="C10" s="14">
        <v>119232</v>
      </c>
      <c r="D10" s="14">
        <v>13.8</v>
      </c>
      <c r="E10" s="14">
        <f t="shared" si="0"/>
        <v>1.2E-4</v>
      </c>
      <c r="F10" s="53">
        <f>24233*1.302*12</f>
        <v>378616.39199999999</v>
      </c>
      <c r="G10" s="49">
        <f>ROUND((E10*F10),2)</f>
        <v>45.43</v>
      </c>
      <c r="H10" s="51">
        <f>C10*G10</f>
        <v>5416709.7599999998</v>
      </c>
      <c r="I10" s="51"/>
      <c r="J10" s="55">
        <f t="shared" si="2"/>
        <v>45.43</v>
      </c>
      <c r="K10" s="72">
        <f t="shared" si="3"/>
        <v>25038720</v>
      </c>
      <c r="L10" s="72"/>
      <c r="M10" s="73">
        <f>ROUND(((L9/(K9+K10))*(35*6)),3)</f>
        <v>17.704999999999998</v>
      </c>
      <c r="N10" s="14"/>
      <c r="O10" s="73">
        <f>ROUND(((N9/(K9+K10))*35*6),4)</f>
        <v>1.1589</v>
      </c>
      <c r="P10" s="73"/>
      <c r="Q10" s="73">
        <f>ROUND(((P9/(K9+K10))*35*6),4)</f>
        <v>0.53380000000000005</v>
      </c>
      <c r="R10" s="14"/>
      <c r="S10" s="73">
        <f>ROUND(((R9/(K9+K10))*35*6),3)</f>
        <v>1.304</v>
      </c>
      <c r="T10" s="14"/>
      <c r="U10" s="73">
        <f>ROUND(((T9/(K9+K10))*35*6),3)</f>
        <v>44.976999999999997</v>
      </c>
      <c r="V10" s="14"/>
      <c r="W10" s="73">
        <f>ROUND(((V9/(K9+K10))*35*6),3)</f>
        <v>3.8290000000000002</v>
      </c>
      <c r="X10" s="59">
        <f t="shared" si="5"/>
        <v>69.507699999999986</v>
      </c>
      <c r="Y10" s="59">
        <f t="shared" si="6"/>
        <v>114.93769999999998</v>
      </c>
      <c r="Z10" s="14"/>
      <c r="AA10" s="14">
        <f>(Z9/(C9+C10))*C10</f>
        <v>0</v>
      </c>
      <c r="AB10" s="14"/>
      <c r="AC10" s="14">
        <f>ROUND(((Y10*C10)+AA10+AB10),2)</f>
        <v>13704251.85</v>
      </c>
    </row>
    <row r="11" spans="1:29" ht="48" x14ac:dyDescent="0.25">
      <c r="A11" s="79" t="s">
        <v>101</v>
      </c>
      <c r="B11" s="13" t="s">
        <v>96</v>
      </c>
      <c r="C11" s="14">
        <v>52794</v>
      </c>
      <c r="D11" s="14">
        <v>18.3</v>
      </c>
      <c r="E11" s="14">
        <f>ROUND((D11/C11),9)</f>
        <v>3.4663000000000001E-4</v>
      </c>
      <c r="F11" s="53">
        <f>18012*1.302*12</f>
        <v>281419.48800000001</v>
      </c>
      <c r="G11" s="49">
        <f>ROUND((E11*F11),3)</f>
        <v>97.548000000000002</v>
      </c>
      <c r="H11" s="51">
        <f>C11*G11</f>
        <v>5149949.1119999997</v>
      </c>
      <c r="I11" s="51"/>
      <c r="J11" s="55">
        <f>G11+I11</f>
        <v>97.548000000000002</v>
      </c>
      <c r="K11" s="72">
        <f t="shared" si="3"/>
        <v>11086740</v>
      </c>
      <c r="L11" s="53">
        <v>213124</v>
      </c>
      <c r="M11" s="73">
        <f>ROUND(((L11/K11)*(35*6)),3)</f>
        <v>4.0369999999999999</v>
      </c>
      <c r="N11" s="51">
        <v>161110</v>
      </c>
      <c r="O11" s="73">
        <f>ROUND(((N11/K11)*(35*6)),3)</f>
        <v>3.052</v>
      </c>
      <c r="P11" s="73">
        <v>56250</v>
      </c>
      <c r="Q11" s="73">
        <f>ROUND(((P11/K11)*(35*6)),3)</f>
        <v>1.0649999999999999</v>
      </c>
      <c r="R11" s="53">
        <v>30000</v>
      </c>
      <c r="S11" s="73">
        <f>ROUND(((R11/K11)*(35*6)),3)</f>
        <v>0.56799999999999995</v>
      </c>
      <c r="T11" s="14">
        <v>5391380</v>
      </c>
      <c r="U11" s="73">
        <f>ROUND(((T11/K11)*(35*6)),3)</f>
        <v>102.121</v>
      </c>
      <c r="V11" s="53">
        <v>320294</v>
      </c>
      <c r="W11" s="73">
        <f>ROUND(((V11/K11)*(35*6)),3)</f>
        <v>6.0670000000000002</v>
      </c>
      <c r="X11" s="59">
        <f t="shared" si="5"/>
        <v>116.91</v>
      </c>
      <c r="Y11" s="59">
        <f t="shared" si="4"/>
        <v>214.458</v>
      </c>
      <c r="Z11" s="51">
        <v>10955.988599999999</v>
      </c>
      <c r="AA11" s="51"/>
      <c r="AB11" s="53"/>
      <c r="AC11" s="14">
        <f>ROUND(((Y11*C11)+Z11+AB11),2)</f>
        <v>11333051.640000001</v>
      </c>
    </row>
    <row r="12" spans="1:29" ht="24" x14ac:dyDescent="0.25">
      <c r="A12" s="79" t="s">
        <v>101</v>
      </c>
      <c r="B12" s="13" t="s">
        <v>102</v>
      </c>
      <c r="C12" s="14">
        <v>600</v>
      </c>
      <c r="D12" s="14">
        <v>0</v>
      </c>
      <c r="E12" s="14">
        <f t="shared" ref="E12" si="7">ROUND((D12/C12),4)</f>
        <v>0</v>
      </c>
      <c r="F12" s="53"/>
      <c r="G12" s="49">
        <f t="shared" ref="G12" si="8">ROUND((E12*F12),2)</f>
        <v>0</v>
      </c>
      <c r="H12" s="51">
        <f t="shared" ref="H12" si="9">C12*G12</f>
        <v>0</v>
      </c>
      <c r="I12" s="51"/>
      <c r="J12" s="55">
        <f t="shared" si="2"/>
        <v>0</v>
      </c>
      <c r="K12" s="72">
        <f>153*C12</f>
        <v>91800</v>
      </c>
      <c r="L12" s="14">
        <v>2118676</v>
      </c>
      <c r="M12" s="73">
        <f>ROUND(((L12/K12)*153),3)</f>
        <v>3531.127</v>
      </c>
      <c r="N12" s="66">
        <v>500000</v>
      </c>
      <c r="O12" s="73">
        <f>ROUND(((N12/K12)*153),3)</f>
        <v>833.33299999999997</v>
      </c>
      <c r="P12" s="14">
        <v>56250</v>
      </c>
      <c r="Q12" s="73">
        <f>ROUND(((P12/K12)*153),3)</f>
        <v>93.75</v>
      </c>
      <c r="R12" s="14"/>
      <c r="S12" s="73">
        <v>0</v>
      </c>
      <c r="T12" s="14">
        <v>1958800</v>
      </c>
      <c r="U12" s="73">
        <f>ROUND(((T12/K12)*153),3)</f>
        <v>3264.6669999999999</v>
      </c>
      <c r="V12" s="53">
        <v>500000</v>
      </c>
      <c r="W12" s="73">
        <f>ROUND(((V12/K12)*153),3)</f>
        <v>833.33299999999997</v>
      </c>
      <c r="X12" s="59">
        <f>M12+O12+Q12+S12+U12+W12</f>
        <v>8556.2100000000009</v>
      </c>
      <c r="Y12" s="59">
        <f t="shared" si="4"/>
        <v>8556.2100000000009</v>
      </c>
      <c r="Z12" s="14">
        <v>142454.01</v>
      </c>
      <c r="AA12" s="14"/>
      <c r="AB12" s="14"/>
      <c r="AC12" s="14">
        <f>ROUND(((Y12*C12)+Z12+AB12),2)</f>
        <v>5276180.01</v>
      </c>
    </row>
    <row r="13" spans="1:29" ht="48" x14ac:dyDescent="0.25">
      <c r="A13" s="80" t="s">
        <v>40</v>
      </c>
      <c r="B13" s="13" t="s">
        <v>96</v>
      </c>
      <c r="C13" s="14">
        <f>C5+C6+C7+C9+C11</f>
        <v>448087</v>
      </c>
      <c r="D13" s="14">
        <f>D5+D6+D7+D9+D11</f>
        <v>116.3</v>
      </c>
      <c r="E13" s="14">
        <f>ROUND((D13/C13),5)</f>
        <v>2.5999999999999998E-4</v>
      </c>
      <c r="F13" s="53">
        <f>21420*1.302*12</f>
        <v>334666.08</v>
      </c>
      <c r="G13" s="49">
        <f>ROUND((E13*F13),2)</f>
        <v>87.01</v>
      </c>
      <c r="H13" s="51">
        <f>C13*G13</f>
        <v>38988049.870000005</v>
      </c>
      <c r="I13" s="51"/>
      <c r="J13" s="55">
        <f t="shared" si="2"/>
        <v>87.01</v>
      </c>
      <c r="K13" s="72">
        <f t="shared" si="3"/>
        <v>94098270</v>
      </c>
      <c r="L13" s="53">
        <f>L5+L6+L7+L9+L11</f>
        <v>7461724</v>
      </c>
      <c r="M13" s="73">
        <f>ROUND(((L13/(K13+K14))*(35*6)),3)</f>
        <v>11.356</v>
      </c>
      <c r="N13" s="51">
        <f>N5+N6+N7+N9+N11</f>
        <v>1128005.9100000001</v>
      </c>
      <c r="O13" s="73">
        <f>ROUND(((N13/(K13+K14))*(35*6)),3)</f>
        <v>1.7170000000000001</v>
      </c>
      <c r="P13" s="81">
        <f>P5+P6+P7+P9+P11</f>
        <v>350550</v>
      </c>
      <c r="Q13" s="73">
        <f>ROUND(((P13/(K13+K14))*(35*6)),3)</f>
        <v>0.53400000000000003</v>
      </c>
      <c r="R13" s="14">
        <f>R5+R6+R7+R9+R11</f>
        <v>192000</v>
      </c>
      <c r="S13" s="73">
        <f>ROUND(((R13/(K13+K14))*(35*6)),3)</f>
        <v>0.29199999999999998</v>
      </c>
      <c r="T13" s="14">
        <f>T5+T6+T7+T9+T11</f>
        <v>33418883.000000004</v>
      </c>
      <c r="U13" s="73">
        <f>ROUND(((T13/(K13+K14))*(35*6)),3)</f>
        <v>50.862000000000002</v>
      </c>
      <c r="V13" s="53">
        <f>V5+V6+V7+V9+V11</f>
        <v>1975379.1600000001</v>
      </c>
      <c r="W13" s="73">
        <f>ROUND(((V13/(K13+K14))*(35*6)),3)</f>
        <v>3.0059999999999998</v>
      </c>
      <c r="X13" s="59">
        <f>M13+O13+Q13+S13+U13+W13</f>
        <v>67.766999999999996</v>
      </c>
      <c r="Y13" s="59">
        <f t="shared" si="4"/>
        <v>154.77699999999999</v>
      </c>
      <c r="Z13" s="51">
        <f>Z5+Z6+Z7+Z9+Z11</f>
        <v>239960.5287</v>
      </c>
      <c r="AA13" s="51"/>
      <c r="AB13" s="53">
        <f>AB5+AB6+AB7+AB9+AB11</f>
        <v>0</v>
      </c>
      <c r="AC13" s="14">
        <f>AC5+AC6+AC7+AC9+AC11</f>
        <v>71643901.580000013</v>
      </c>
    </row>
    <row r="14" spans="1:29" ht="72" x14ac:dyDescent="0.25">
      <c r="A14" s="80" t="s">
        <v>40</v>
      </c>
      <c r="B14" s="13" t="s">
        <v>99</v>
      </c>
      <c r="C14" s="14">
        <f>C8+C10</f>
        <v>208962</v>
      </c>
      <c r="D14" s="14">
        <f>D8+D10</f>
        <v>16.8</v>
      </c>
      <c r="E14" s="14">
        <f>ROUND((D14/C14),5)</f>
        <v>8.0000000000000007E-5</v>
      </c>
      <c r="F14" s="53">
        <f>23250*1.302*12</f>
        <v>363258</v>
      </c>
      <c r="G14" s="49">
        <f>ROUND((E14*F14),2)</f>
        <v>29.06</v>
      </c>
      <c r="H14" s="51">
        <f>C14*G14</f>
        <v>6072435.7199999997</v>
      </c>
      <c r="I14" s="51"/>
      <c r="J14" s="55">
        <f t="shared" si="2"/>
        <v>29.06</v>
      </c>
      <c r="K14" s="72">
        <f t="shared" si="3"/>
        <v>43882020</v>
      </c>
      <c r="L14" s="53"/>
      <c r="M14" s="73">
        <f>ROUND(((L13/(K13+K14))*(35*6)),3)</f>
        <v>11.356</v>
      </c>
      <c r="N14" s="14"/>
      <c r="O14" s="73">
        <f>ROUND(((N13/(K13+K14))*(35*6)),3)</f>
        <v>1.7170000000000001</v>
      </c>
      <c r="P14" s="81"/>
      <c r="Q14" s="73">
        <f>ROUND(((P13/(K13+K14))*(35*6)),3)</f>
        <v>0.53400000000000003</v>
      </c>
      <c r="R14" s="14"/>
      <c r="S14" s="73">
        <f>ROUND(((R13/(K13+K14))*(35*6)),3)</f>
        <v>0.29199999999999998</v>
      </c>
      <c r="T14" s="14"/>
      <c r="U14" s="73">
        <f>ROUND(((T13/(K13+K14))*(35*6)),3)</f>
        <v>50.862000000000002</v>
      </c>
      <c r="V14" s="53"/>
      <c r="W14" s="73">
        <f>ROUND(((V13/(K13+K14))*(35*6)),3)</f>
        <v>3.0059999999999998</v>
      </c>
      <c r="X14" s="59">
        <f>M14+O14+Q14+S14+U14+W14</f>
        <v>67.766999999999996</v>
      </c>
      <c r="Y14" s="59">
        <f t="shared" si="4"/>
        <v>96.826999999999998</v>
      </c>
      <c r="Z14" s="51"/>
      <c r="AA14" s="51"/>
      <c r="AB14" s="53"/>
      <c r="AC14" s="14">
        <f>AC8+AC10</f>
        <v>18182165.899999999</v>
      </c>
    </row>
    <row r="15" spans="1:29" ht="72" x14ac:dyDescent="0.25">
      <c r="A15" s="79" t="s">
        <v>103</v>
      </c>
      <c r="B15" s="13" t="s">
        <v>104</v>
      </c>
      <c r="C15" s="14">
        <v>15000</v>
      </c>
      <c r="D15" s="14">
        <v>16.5</v>
      </c>
      <c r="E15" s="14">
        <f>ROUND((D15/C15),6)</f>
        <v>1.1000000000000001E-3</v>
      </c>
      <c r="F15" s="53">
        <f>18668*1.302*12</f>
        <v>291668.83199999999</v>
      </c>
      <c r="G15" s="49">
        <f>ROUND((E15*F15),2)</f>
        <v>320.83999999999997</v>
      </c>
      <c r="H15" s="51">
        <f>C15*G15</f>
        <v>4812600</v>
      </c>
      <c r="I15" s="51"/>
      <c r="J15" s="55">
        <f>G15+I15</f>
        <v>320.83999999999997</v>
      </c>
      <c r="K15" s="72">
        <f>247*C15</f>
        <v>3705000</v>
      </c>
      <c r="L15" s="14">
        <v>0</v>
      </c>
      <c r="M15" s="73">
        <f>ROUND(((L15/K15)*247),3)</f>
        <v>0</v>
      </c>
      <c r="N15" s="14">
        <v>90000</v>
      </c>
      <c r="O15" s="73">
        <f>ROUND(((N15/K15)*247),3)</f>
        <v>6</v>
      </c>
      <c r="P15" s="14">
        <v>70000</v>
      </c>
      <c r="Q15" s="73">
        <f>ROUND(((P15/K15)*247),3)</f>
        <v>4.6669999999999998</v>
      </c>
      <c r="R15" s="14"/>
      <c r="S15" s="73">
        <f>ROUND(((R15/K15)*247),3)</f>
        <v>0</v>
      </c>
      <c r="T15" s="14">
        <f>ROUND((([2]Лист1!G12+[2]Лист1!J12)*1.302*1000),1)</f>
        <v>1871036.5</v>
      </c>
      <c r="U15" s="73">
        <f>ROUND(((T15/K15)*247),3)</f>
        <v>124.736</v>
      </c>
      <c r="V15" s="14">
        <v>205000</v>
      </c>
      <c r="W15" s="73">
        <f>ROUND(((V15/K15)*247),3)</f>
        <v>13.667</v>
      </c>
      <c r="X15" s="59">
        <f t="shared" si="5"/>
        <v>149.07</v>
      </c>
      <c r="Y15" s="59">
        <f t="shared" si="4"/>
        <v>469.90999999999997</v>
      </c>
      <c r="Z15" s="14">
        <v>0</v>
      </c>
      <c r="AA15" s="14"/>
      <c r="AB15" s="14">
        <v>0</v>
      </c>
      <c r="AC15" s="14">
        <f>ROUND(((Y15*C15)+Z15+AB15),2)</f>
        <v>7048650</v>
      </c>
    </row>
  </sheetData>
  <mergeCells count="11">
    <mergeCell ref="AA2:AA3"/>
    <mergeCell ref="AB2:AB3"/>
    <mergeCell ref="AC2:AC3"/>
    <mergeCell ref="A7:A8"/>
    <mergeCell ref="A9:A10"/>
    <mergeCell ref="Z2:Z3"/>
    <mergeCell ref="E1:G1"/>
    <mergeCell ref="A2:A3"/>
    <mergeCell ref="B2:J2"/>
    <mergeCell ref="K2:X2"/>
    <mergeCell ref="Y2:Y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>
      <selection activeCell="E27" sqref="E27"/>
    </sheetView>
  </sheetViews>
  <sheetFormatPr defaultRowHeight="14.4" x14ac:dyDescent="0.3"/>
  <cols>
    <col min="1" max="1" width="28.33203125" customWidth="1"/>
    <col min="2" max="2" width="15.44140625" style="96" customWidth="1"/>
  </cols>
  <sheetData>
    <row r="1" spans="1:8" x14ac:dyDescent="0.3">
      <c r="A1" s="82" t="s">
        <v>119</v>
      </c>
      <c r="B1"/>
    </row>
    <row r="2" spans="1:8" ht="18" thickBot="1" x14ac:dyDescent="0.35">
      <c r="A2" s="83" t="s">
        <v>122</v>
      </c>
      <c r="B2" s="83"/>
    </row>
    <row r="3" spans="1:8" x14ac:dyDescent="0.3">
      <c r="A3" s="145" t="s">
        <v>105</v>
      </c>
      <c r="B3" s="147" t="s">
        <v>106</v>
      </c>
      <c r="C3" s="84"/>
      <c r="D3" s="84"/>
      <c r="E3" s="84"/>
      <c r="F3" s="84"/>
      <c r="G3" s="84"/>
      <c r="H3" s="84"/>
    </row>
    <row r="4" spans="1:8" ht="49.5" customHeight="1" thickBot="1" x14ac:dyDescent="0.35">
      <c r="A4" s="150"/>
      <c r="B4" s="151"/>
    </row>
    <row r="5" spans="1:8" ht="39.6" x14ac:dyDescent="0.3">
      <c r="A5" s="85" t="s">
        <v>107</v>
      </c>
      <c r="B5" s="86">
        <v>1</v>
      </c>
    </row>
    <row r="6" spans="1:8" ht="66" x14ac:dyDescent="0.3">
      <c r="A6" s="87" t="s">
        <v>108</v>
      </c>
      <c r="B6" s="86">
        <v>1</v>
      </c>
    </row>
    <row r="8" spans="1:8" s="89" customFormat="1" ht="18" thickBot="1" x14ac:dyDescent="0.35">
      <c r="A8" s="88" t="s">
        <v>123</v>
      </c>
      <c r="B8" s="88"/>
    </row>
    <row r="9" spans="1:8" x14ac:dyDescent="0.3">
      <c r="A9" s="145" t="s">
        <v>105</v>
      </c>
      <c r="B9" s="147" t="s">
        <v>106</v>
      </c>
    </row>
    <row r="10" spans="1:8" ht="48.75" customHeight="1" thickBot="1" x14ac:dyDescent="0.35">
      <c r="A10" s="150"/>
      <c r="B10" s="151"/>
    </row>
    <row r="11" spans="1:8" ht="39.6" x14ac:dyDescent="0.3">
      <c r="A11" s="85" t="s">
        <v>107</v>
      </c>
      <c r="B11" s="90">
        <v>1</v>
      </c>
    </row>
    <row r="12" spans="1:8" ht="66" x14ac:dyDescent="0.3">
      <c r="A12" s="87" t="s">
        <v>108</v>
      </c>
      <c r="B12" s="90">
        <v>1</v>
      </c>
    </row>
    <row r="13" spans="1:8" ht="39.6" x14ac:dyDescent="0.3">
      <c r="A13" s="87" t="s">
        <v>109</v>
      </c>
      <c r="B13" s="90">
        <v>1</v>
      </c>
    </row>
    <row r="14" spans="1:8" ht="66" x14ac:dyDescent="0.3">
      <c r="A14" s="87" t="s">
        <v>110</v>
      </c>
      <c r="B14" s="90">
        <v>1</v>
      </c>
    </row>
    <row r="15" spans="1:8" ht="39.6" x14ac:dyDescent="0.3">
      <c r="A15" s="91" t="s">
        <v>111</v>
      </c>
      <c r="B15" s="90">
        <v>1</v>
      </c>
    </row>
    <row r="16" spans="1:8" ht="66" x14ac:dyDescent="0.3">
      <c r="A16" s="91" t="s">
        <v>112</v>
      </c>
      <c r="B16" s="90">
        <v>1</v>
      </c>
    </row>
    <row r="17" spans="1:4" ht="66" x14ac:dyDescent="0.3">
      <c r="A17" s="92" t="s">
        <v>113</v>
      </c>
      <c r="B17" s="90">
        <v>1</v>
      </c>
    </row>
    <row r="18" spans="1:4" ht="39.6" x14ac:dyDescent="0.3">
      <c r="A18" s="87" t="s">
        <v>114</v>
      </c>
      <c r="B18" s="90">
        <v>1</v>
      </c>
    </row>
    <row r="19" spans="1:4" ht="66" x14ac:dyDescent="0.3">
      <c r="A19" s="92" t="s">
        <v>115</v>
      </c>
      <c r="B19" s="90">
        <v>1</v>
      </c>
    </row>
    <row r="22" spans="1:4" s="89" customFormat="1" ht="18" thickBot="1" x14ac:dyDescent="0.35">
      <c r="A22" s="152" t="s">
        <v>116</v>
      </c>
      <c r="B22" s="152"/>
      <c r="C22" s="152"/>
      <c r="D22" s="152"/>
    </row>
    <row r="23" spans="1:4" x14ac:dyDescent="0.3">
      <c r="A23" s="145" t="s">
        <v>105</v>
      </c>
      <c r="B23" s="147" t="s">
        <v>106</v>
      </c>
    </row>
    <row r="24" spans="1:4" ht="42" customHeight="1" x14ac:dyDescent="0.3">
      <c r="A24" s="146"/>
      <c r="B24" s="148"/>
    </row>
    <row r="25" spans="1:4" ht="42" x14ac:dyDescent="0.3">
      <c r="A25" s="93" t="s">
        <v>117</v>
      </c>
      <c r="B25" s="94">
        <v>1</v>
      </c>
    </row>
    <row r="26" spans="1:4" ht="69.599999999999994" x14ac:dyDescent="0.3">
      <c r="A26" s="93" t="s">
        <v>120</v>
      </c>
      <c r="B26" s="94">
        <v>1</v>
      </c>
    </row>
    <row r="27" spans="1:4" ht="26.4" x14ac:dyDescent="0.3">
      <c r="A27" s="87" t="s">
        <v>118</v>
      </c>
      <c r="B27" s="94">
        <v>1</v>
      </c>
    </row>
    <row r="28" spans="1:4" ht="15.6" x14ac:dyDescent="0.3">
      <c r="A28" s="149" t="s">
        <v>124</v>
      </c>
      <c r="B28" s="149"/>
    </row>
    <row r="29" spans="1:4" ht="55.8" x14ac:dyDescent="0.3">
      <c r="A29" s="95" t="s">
        <v>121</v>
      </c>
      <c r="B29" s="94">
        <v>1</v>
      </c>
    </row>
  </sheetData>
  <mergeCells count="8">
    <mergeCell ref="A23:A24"/>
    <mergeCell ref="B23:B24"/>
    <mergeCell ref="A28:B28"/>
    <mergeCell ref="A3:A4"/>
    <mergeCell ref="B3:B4"/>
    <mergeCell ref="A9:A10"/>
    <mergeCell ref="B9:B10"/>
    <mergeCell ref="A22:D2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Приложение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i.lennova</dc:creator>
  <cp:lastModifiedBy>Наталья Ю. Голованова</cp:lastModifiedBy>
  <cp:lastPrinted>2024-03-27T07:42:15Z</cp:lastPrinted>
  <dcterms:created xsi:type="dcterms:W3CDTF">2018-08-01T12:02:10Z</dcterms:created>
  <dcterms:modified xsi:type="dcterms:W3CDTF">2024-03-27T07:43:44Z</dcterms:modified>
</cp:coreProperties>
</file>